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imon\Desktop\Project DoubleUp\Exceldatein\V2\"/>
    </mc:Choice>
  </mc:AlternateContent>
  <xr:revisionPtr revIDLastSave="0" documentId="13_ncr:1_{86AEA13F-F5C6-41D2-817C-FF089EFB3005}" xr6:coauthVersionLast="47" xr6:coauthVersionMax="47" xr10:uidLastSave="{00000000-0000-0000-0000-000000000000}"/>
  <bookViews>
    <workbookView xWindow="-120" yWindow="-120" windowWidth="29040" windowHeight="15720" tabRatio="710" xr2:uid="{00000000-000D-0000-FFFF-FFFF00000000}"/>
  </bookViews>
  <sheets>
    <sheet name="Dashboard" sheetId="1" r:id="rId1"/>
    <sheet name="Immobilien-Kalkulation" sheetId="2" r:id="rId2"/>
    <sheet name="Szenarien" sheetId="3" r:id="rId3"/>
    <sheet name="Zinstest" sheetId="4" r:id="rId4"/>
    <sheet name="Exit-Analyse" sheetId="5" r:id="rId5"/>
    <sheet name="EK-Optimierung" sheetId="6" r:id="rId6"/>
    <sheet name="Realwert-Analyse" sheetId="7" r:id="rId7"/>
    <sheet name="Tilgungsplan" sheetId="8" r:id="rId8"/>
  </sheets>
  <definedNames>
    <definedName name="_xlnm._FilterDatabase" localSheetId="7" hidden="1">Tilgungsplan!$A$3:$I$603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03" i="8" l="1"/>
  <c r="D603" i="8"/>
  <c r="J603" i="8" s="1"/>
  <c r="C603" i="8"/>
  <c r="B603" i="8"/>
  <c r="I602" i="8"/>
  <c r="D602" i="8"/>
  <c r="E602" i="8" s="1"/>
  <c r="C602" i="8"/>
  <c r="B602" i="8"/>
  <c r="I601" i="8"/>
  <c r="D601" i="8"/>
  <c r="C601" i="8"/>
  <c r="B601" i="8"/>
  <c r="I600" i="8"/>
  <c r="D600" i="8"/>
  <c r="J600" i="8" s="1"/>
  <c r="C600" i="8"/>
  <c r="B600" i="8"/>
  <c r="I599" i="8"/>
  <c r="D599" i="8"/>
  <c r="E599" i="8" s="1"/>
  <c r="C599" i="8"/>
  <c r="B599" i="8"/>
  <c r="I598" i="8"/>
  <c r="D598" i="8"/>
  <c r="C598" i="8"/>
  <c r="B598" i="8"/>
  <c r="I597" i="8"/>
  <c r="D597" i="8"/>
  <c r="J597" i="8" s="1"/>
  <c r="C597" i="8"/>
  <c r="B597" i="8"/>
  <c r="I596" i="8"/>
  <c r="D596" i="8"/>
  <c r="E596" i="8" s="1"/>
  <c r="C596" i="8"/>
  <c r="B596" i="8"/>
  <c r="I595" i="8"/>
  <c r="D595" i="8"/>
  <c r="C595" i="8"/>
  <c r="B595" i="8"/>
  <c r="I594" i="8"/>
  <c r="D594" i="8"/>
  <c r="J594" i="8" s="1"/>
  <c r="C594" i="8"/>
  <c r="B594" i="8"/>
  <c r="I593" i="8"/>
  <c r="D593" i="8"/>
  <c r="E593" i="8" s="1"/>
  <c r="C593" i="8"/>
  <c r="B593" i="8"/>
  <c r="I592" i="8"/>
  <c r="D592" i="8"/>
  <c r="C592" i="8"/>
  <c r="B592" i="8"/>
  <c r="I591" i="8"/>
  <c r="D591" i="8"/>
  <c r="J591" i="8" s="1"/>
  <c r="C591" i="8"/>
  <c r="B591" i="8"/>
  <c r="I590" i="8"/>
  <c r="D590" i="8"/>
  <c r="E590" i="8" s="1"/>
  <c r="C590" i="8"/>
  <c r="B590" i="8"/>
  <c r="I589" i="8"/>
  <c r="D589" i="8"/>
  <c r="C589" i="8"/>
  <c r="B589" i="8"/>
  <c r="I588" i="8"/>
  <c r="D588" i="8"/>
  <c r="J588" i="8" s="1"/>
  <c r="C588" i="8"/>
  <c r="B588" i="8"/>
  <c r="I587" i="8"/>
  <c r="D587" i="8"/>
  <c r="E587" i="8" s="1"/>
  <c r="C587" i="8"/>
  <c r="B587" i="8"/>
  <c r="I586" i="8"/>
  <c r="D586" i="8"/>
  <c r="C586" i="8"/>
  <c r="B586" i="8"/>
  <c r="I585" i="8"/>
  <c r="D585" i="8"/>
  <c r="J585" i="8" s="1"/>
  <c r="C585" i="8"/>
  <c r="B585" i="8"/>
  <c r="I584" i="8"/>
  <c r="D584" i="8"/>
  <c r="E584" i="8" s="1"/>
  <c r="C584" i="8"/>
  <c r="B584" i="8"/>
  <c r="I583" i="8"/>
  <c r="D583" i="8"/>
  <c r="C583" i="8"/>
  <c r="B583" i="8"/>
  <c r="I582" i="8"/>
  <c r="D582" i="8"/>
  <c r="J582" i="8" s="1"/>
  <c r="C582" i="8"/>
  <c r="B582" i="8"/>
  <c r="I581" i="8"/>
  <c r="D581" i="8"/>
  <c r="E581" i="8" s="1"/>
  <c r="C581" i="8"/>
  <c r="B581" i="8"/>
  <c r="I580" i="8"/>
  <c r="D580" i="8"/>
  <c r="C580" i="8"/>
  <c r="B580" i="8"/>
  <c r="I579" i="8"/>
  <c r="D579" i="8"/>
  <c r="C579" i="8"/>
  <c r="B579" i="8"/>
  <c r="I578" i="8"/>
  <c r="D578" i="8"/>
  <c r="E578" i="8" s="1"/>
  <c r="C578" i="8"/>
  <c r="B578" i="8"/>
  <c r="I577" i="8"/>
  <c r="D577" i="8"/>
  <c r="C577" i="8"/>
  <c r="B577" i="8"/>
  <c r="I576" i="8"/>
  <c r="D576" i="8"/>
  <c r="J576" i="8" s="1"/>
  <c r="C576" i="8"/>
  <c r="B576" i="8"/>
  <c r="I575" i="8"/>
  <c r="D575" i="8"/>
  <c r="F575" i="8" s="1"/>
  <c r="C575" i="8"/>
  <c r="B575" i="8"/>
  <c r="I574" i="8"/>
  <c r="D574" i="8"/>
  <c r="C574" i="8"/>
  <c r="B574" i="8"/>
  <c r="I573" i="8"/>
  <c r="D573" i="8"/>
  <c r="J573" i="8" s="1"/>
  <c r="C573" i="8"/>
  <c r="B573" i="8"/>
  <c r="I572" i="8"/>
  <c r="D572" i="8"/>
  <c r="E572" i="8" s="1"/>
  <c r="C572" i="8"/>
  <c r="B572" i="8"/>
  <c r="I571" i="8"/>
  <c r="D571" i="8"/>
  <c r="C571" i="8"/>
  <c r="B571" i="8"/>
  <c r="I570" i="8"/>
  <c r="D570" i="8"/>
  <c r="J570" i="8" s="1"/>
  <c r="C570" i="8"/>
  <c r="B570" i="8"/>
  <c r="I569" i="8"/>
  <c r="D569" i="8"/>
  <c r="E569" i="8" s="1"/>
  <c r="C569" i="8"/>
  <c r="B569" i="8"/>
  <c r="I568" i="8"/>
  <c r="D568" i="8"/>
  <c r="C568" i="8"/>
  <c r="B568" i="8"/>
  <c r="I567" i="8"/>
  <c r="D567" i="8"/>
  <c r="J567" i="8" s="1"/>
  <c r="C567" i="8"/>
  <c r="B567" i="8"/>
  <c r="I566" i="8"/>
  <c r="D566" i="8"/>
  <c r="E566" i="8" s="1"/>
  <c r="C566" i="8"/>
  <c r="B566" i="8"/>
  <c r="I565" i="8"/>
  <c r="D565" i="8"/>
  <c r="C565" i="8"/>
  <c r="B565" i="8"/>
  <c r="I564" i="8"/>
  <c r="D564" i="8"/>
  <c r="J564" i="8" s="1"/>
  <c r="C564" i="8"/>
  <c r="B564" i="8"/>
  <c r="I563" i="8"/>
  <c r="D563" i="8"/>
  <c r="E563" i="8" s="1"/>
  <c r="C563" i="8"/>
  <c r="B563" i="8"/>
  <c r="I562" i="8"/>
  <c r="D562" i="8"/>
  <c r="C562" i="8"/>
  <c r="B562" i="8"/>
  <c r="I561" i="8"/>
  <c r="F561" i="8"/>
  <c r="D561" i="8"/>
  <c r="J561" i="8" s="1"/>
  <c r="C561" i="8"/>
  <c r="B561" i="8"/>
  <c r="I560" i="8"/>
  <c r="D560" i="8"/>
  <c r="E560" i="8" s="1"/>
  <c r="C560" i="8"/>
  <c r="B560" i="8"/>
  <c r="I559" i="8"/>
  <c r="D559" i="8"/>
  <c r="C559" i="8"/>
  <c r="B559" i="8"/>
  <c r="I558" i="8"/>
  <c r="D558" i="8"/>
  <c r="C558" i="8"/>
  <c r="B558" i="8"/>
  <c r="I557" i="8"/>
  <c r="D557" i="8"/>
  <c r="E557" i="8" s="1"/>
  <c r="C557" i="8"/>
  <c r="B557" i="8"/>
  <c r="I556" i="8"/>
  <c r="D556" i="8"/>
  <c r="C556" i="8"/>
  <c r="B556" i="8"/>
  <c r="I555" i="8"/>
  <c r="D555" i="8"/>
  <c r="J555" i="8" s="1"/>
  <c r="C555" i="8"/>
  <c r="B555" i="8"/>
  <c r="I554" i="8"/>
  <c r="D554" i="8"/>
  <c r="C554" i="8"/>
  <c r="B554" i="8"/>
  <c r="I553" i="8"/>
  <c r="D553" i="8"/>
  <c r="C553" i="8"/>
  <c r="B553" i="8"/>
  <c r="I552" i="8"/>
  <c r="D552" i="8"/>
  <c r="J552" i="8" s="1"/>
  <c r="C552" i="8"/>
  <c r="B552" i="8"/>
  <c r="I551" i="8"/>
  <c r="D551" i="8"/>
  <c r="E551" i="8" s="1"/>
  <c r="C551" i="8"/>
  <c r="B551" i="8"/>
  <c r="I550" i="8"/>
  <c r="D550" i="8"/>
  <c r="C550" i="8"/>
  <c r="B550" i="8"/>
  <c r="I549" i="8"/>
  <c r="D549" i="8"/>
  <c r="J549" i="8" s="1"/>
  <c r="C549" i="8"/>
  <c r="B549" i="8"/>
  <c r="I548" i="8"/>
  <c r="D548" i="8"/>
  <c r="E548" i="8" s="1"/>
  <c r="C548" i="8"/>
  <c r="B548" i="8"/>
  <c r="I547" i="8"/>
  <c r="D547" i="8"/>
  <c r="C547" i="8"/>
  <c r="B547" i="8"/>
  <c r="I546" i="8"/>
  <c r="D546" i="8"/>
  <c r="J546" i="8" s="1"/>
  <c r="C546" i="8"/>
  <c r="B546" i="8"/>
  <c r="I545" i="8"/>
  <c r="D545" i="8"/>
  <c r="E545" i="8" s="1"/>
  <c r="C545" i="8"/>
  <c r="B545" i="8"/>
  <c r="I544" i="8"/>
  <c r="D544" i="8"/>
  <c r="C544" i="8"/>
  <c r="B544" i="8"/>
  <c r="I543" i="8"/>
  <c r="D543" i="8"/>
  <c r="C543" i="8"/>
  <c r="B543" i="8"/>
  <c r="I542" i="8"/>
  <c r="D542" i="8"/>
  <c r="E542" i="8" s="1"/>
  <c r="C542" i="8"/>
  <c r="B542" i="8"/>
  <c r="I541" i="8"/>
  <c r="D541" i="8"/>
  <c r="C541" i="8"/>
  <c r="B541" i="8"/>
  <c r="I540" i="8"/>
  <c r="D540" i="8"/>
  <c r="E540" i="8" s="1"/>
  <c r="C540" i="8"/>
  <c r="B540" i="8"/>
  <c r="I539" i="8"/>
  <c r="D539" i="8"/>
  <c r="J539" i="8" s="1"/>
  <c r="C539" i="8"/>
  <c r="B539" i="8"/>
  <c r="I538" i="8"/>
  <c r="D538" i="8"/>
  <c r="C538" i="8"/>
  <c r="B538" i="8"/>
  <c r="I537" i="8"/>
  <c r="D537" i="8"/>
  <c r="E537" i="8" s="1"/>
  <c r="C537" i="8"/>
  <c r="B537" i="8"/>
  <c r="I536" i="8"/>
  <c r="D536" i="8"/>
  <c r="J536" i="8" s="1"/>
  <c r="C536" i="8"/>
  <c r="B536" i="8"/>
  <c r="I535" i="8"/>
  <c r="D535" i="8"/>
  <c r="C535" i="8"/>
  <c r="B535" i="8"/>
  <c r="I534" i="8"/>
  <c r="D534" i="8"/>
  <c r="E534" i="8" s="1"/>
  <c r="C534" i="8"/>
  <c r="B534" i="8"/>
  <c r="I533" i="8"/>
  <c r="D533" i="8"/>
  <c r="E533" i="8" s="1"/>
  <c r="C533" i="8"/>
  <c r="B533" i="8"/>
  <c r="I532" i="8"/>
  <c r="D532" i="8"/>
  <c r="C532" i="8"/>
  <c r="B532" i="8"/>
  <c r="I531" i="8"/>
  <c r="D531" i="8"/>
  <c r="E531" i="8" s="1"/>
  <c r="C531" i="8"/>
  <c r="B531" i="8"/>
  <c r="I530" i="8"/>
  <c r="D530" i="8"/>
  <c r="C530" i="8"/>
  <c r="B530" i="8"/>
  <c r="I529" i="8"/>
  <c r="D529" i="8"/>
  <c r="C529" i="8"/>
  <c r="B529" i="8"/>
  <c r="I528" i="8"/>
  <c r="D528" i="8"/>
  <c r="E528" i="8" s="1"/>
  <c r="C528" i="8"/>
  <c r="B528" i="8"/>
  <c r="I527" i="8"/>
  <c r="D527" i="8"/>
  <c r="F527" i="8" s="1"/>
  <c r="C527" i="8"/>
  <c r="B527" i="8"/>
  <c r="I526" i="8"/>
  <c r="D526" i="8"/>
  <c r="C526" i="8"/>
  <c r="B526" i="8"/>
  <c r="I525" i="8"/>
  <c r="D525" i="8"/>
  <c r="E525" i="8" s="1"/>
  <c r="C525" i="8"/>
  <c r="B525" i="8"/>
  <c r="I524" i="8"/>
  <c r="D524" i="8"/>
  <c r="J524" i="8" s="1"/>
  <c r="C524" i="8"/>
  <c r="B524" i="8"/>
  <c r="I523" i="8"/>
  <c r="D523" i="8"/>
  <c r="C523" i="8"/>
  <c r="B523" i="8"/>
  <c r="I522" i="8"/>
  <c r="D522" i="8"/>
  <c r="C522" i="8"/>
  <c r="B522" i="8"/>
  <c r="I521" i="8"/>
  <c r="D521" i="8"/>
  <c r="J521" i="8" s="1"/>
  <c r="C521" i="8"/>
  <c r="B521" i="8"/>
  <c r="I520" i="8"/>
  <c r="D520" i="8"/>
  <c r="C520" i="8"/>
  <c r="B520" i="8"/>
  <c r="I519" i="8"/>
  <c r="D519" i="8"/>
  <c r="E519" i="8" s="1"/>
  <c r="C519" i="8"/>
  <c r="B519" i="8"/>
  <c r="I518" i="8"/>
  <c r="D518" i="8"/>
  <c r="E518" i="8" s="1"/>
  <c r="C518" i="8"/>
  <c r="B518" i="8"/>
  <c r="I517" i="8"/>
  <c r="D517" i="8"/>
  <c r="C517" i="8"/>
  <c r="B517" i="8"/>
  <c r="I516" i="8"/>
  <c r="D516" i="8"/>
  <c r="E516" i="8" s="1"/>
  <c r="C516" i="8"/>
  <c r="B516" i="8"/>
  <c r="I515" i="8"/>
  <c r="D515" i="8"/>
  <c r="C515" i="8"/>
  <c r="B515" i="8"/>
  <c r="I514" i="8"/>
  <c r="D514" i="8"/>
  <c r="C514" i="8"/>
  <c r="B514" i="8"/>
  <c r="I513" i="8"/>
  <c r="D513" i="8"/>
  <c r="C513" i="8"/>
  <c r="B513" i="8"/>
  <c r="I512" i="8"/>
  <c r="D512" i="8"/>
  <c r="J512" i="8" s="1"/>
  <c r="C512" i="8"/>
  <c r="B512" i="8"/>
  <c r="I511" i="8"/>
  <c r="D511" i="8"/>
  <c r="C511" i="8"/>
  <c r="B511" i="8"/>
  <c r="I510" i="8"/>
  <c r="D510" i="8"/>
  <c r="J510" i="8" s="1"/>
  <c r="C510" i="8"/>
  <c r="B510" i="8"/>
  <c r="I509" i="8"/>
  <c r="D509" i="8"/>
  <c r="J509" i="8" s="1"/>
  <c r="C509" i="8"/>
  <c r="B509" i="8"/>
  <c r="I508" i="8"/>
  <c r="D508" i="8"/>
  <c r="C508" i="8"/>
  <c r="B508" i="8"/>
  <c r="I507" i="8"/>
  <c r="D507" i="8"/>
  <c r="E507" i="8" s="1"/>
  <c r="C507" i="8"/>
  <c r="B507" i="8"/>
  <c r="I506" i="8"/>
  <c r="D506" i="8"/>
  <c r="J506" i="8" s="1"/>
  <c r="C506" i="8"/>
  <c r="B506" i="8"/>
  <c r="I505" i="8"/>
  <c r="D505" i="8"/>
  <c r="C505" i="8"/>
  <c r="B505" i="8"/>
  <c r="I504" i="8"/>
  <c r="D504" i="8"/>
  <c r="J504" i="8" s="1"/>
  <c r="C504" i="8"/>
  <c r="B504" i="8"/>
  <c r="I503" i="8"/>
  <c r="D503" i="8"/>
  <c r="J503" i="8" s="1"/>
  <c r="C503" i="8"/>
  <c r="B503" i="8"/>
  <c r="I502" i="8"/>
  <c r="D502" i="8"/>
  <c r="C502" i="8"/>
  <c r="B502" i="8"/>
  <c r="I501" i="8"/>
  <c r="D501" i="8"/>
  <c r="G501" i="8" s="1"/>
  <c r="C501" i="8"/>
  <c r="B501" i="8"/>
  <c r="I500" i="8"/>
  <c r="D500" i="8"/>
  <c r="C500" i="8"/>
  <c r="B500" i="8"/>
  <c r="I499" i="8"/>
  <c r="D499" i="8"/>
  <c r="C499" i="8"/>
  <c r="B499" i="8"/>
  <c r="I498" i="8"/>
  <c r="D498" i="8"/>
  <c r="C498" i="8"/>
  <c r="B498" i="8"/>
  <c r="I497" i="8"/>
  <c r="D497" i="8"/>
  <c r="J497" i="8" s="1"/>
  <c r="C497" i="8"/>
  <c r="B497" i="8"/>
  <c r="I496" i="8"/>
  <c r="D496" i="8"/>
  <c r="C496" i="8"/>
  <c r="B496" i="8"/>
  <c r="I495" i="8"/>
  <c r="D495" i="8"/>
  <c r="J495" i="8" s="1"/>
  <c r="C495" i="8"/>
  <c r="B495" i="8"/>
  <c r="I494" i="8"/>
  <c r="D494" i="8"/>
  <c r="J494" i="8" s="1"/>
  <c r="C494" i="8"/>
  <c r="B494" i="8"/>
  <c r="I493" i="8"/>
  <c r="D493" i="8"/>
  <c r="C493" i="8"/>
  <c r="B493" i="8"/>
  <c r="I492" i="8"/>
  <c r="D492" i="8"/>
  <c r="J492" i="8" s="1"/>
  <c r="C492" i="8"/>
  <c r="B492" i="8"/>
  <c r="I491" i="8"/>
  <c r="D491" i="8"/>
  <c r="J491" i="8" s="1"/>
  <c r="C491" i="8"/>
  <c r="B491" i="8"/>
  <c r="I490" i="8"/>
  <c r="D490" i="8"/>
  <c r="C490" i="8"/>
  <c r="B490" i="8"/>
  <c r="I489" i="8"/>
  <c r="D489" i="8"/>
  <c r="J489" i="8" s="1"/>
  <c r="C489" i="8"/>
  <c r="B489" i="8"/>
  <c r="I488" i="8"/>
  <c r="D488" i="8"/>
  <c r="J488" i="8" s="1"/>
  <c r="C488" i="8"/>
  <c r="B488" i="8"/>
  <c r="I487" i="8"/>
  <c r="D487" i="8"/>
  <c r="C487" i="8"/>
  <c r="B487" i="8"/>
  <c r="I486" i="8"/>
  <c r="D486" i="8"/>
  <c r="G486" i="8" s="1"/>
  <c r="C486" i="8"/>
  <c r="B486" i="8"/>
  <c r="I485" i="8"/>
  <c r="D485" i="8"/>
  <c r="E485" i="8" s="1"/>
  <c r="C485" i="8"/>
  <c r="B485" i="8"/>
  <c r="I484" i="8"/>
  <c r="D484" i="8"/>
  <c r="C484" i="8"/>
  <c r="B484" i="8"/>
  <c r="I483" i="8"/>
  <c r="D483" i="8"/>
  <c r="F483" i="8" s="1"/>
  <c r="C483" i="8"/>
  <c r="B483" i="8"/>
  <c r="I482" i="8"/>
  <c r="D482" i="8"/>
  <c r="J482" i="8" s="1"/>
  <c r="C482" i="8"/>
  <c r="B482" i="8"/>
  <c r="I481" i="8"/>
  <c r="D481" i="8"/>
  <c r="F481" i="8" s="1"/>
  <c r="C481" i="8"/>
  <c r="B481" i="8"/>
  <c r="I480" i="8"/>
  <c r="D480" i="8"/>
  <c r="C480" i="8"/>
  <c r="B480" i="8"/>
  <c r="I479" i="8"/>
  <c r="D479" i="8"/>
  <c r="J479" i="8" s="1"/>
  <c r="C479" i="8"/>
  <c r="B479" i="8"/>
  <c r="I478" i="8"/>
  <c r="D478" i="8"/>
  <c r="C478" i="8"/>
  <c r="B478" i="8"/>
  <c r="I477" i="8"/>
  <c r="D477" i="8"/>
  <c r="F477" i="8" s="1"/>
  <c r="C477" i="8"/>
  <c r="B477" i="8"/>
  <c r="I476" i="8"/>
  <c r="D476" i="8"/>
  <c r="C476" i="8"/>
  <c r="B476" i="8"/>
  <c r="I475" i="8"/>
  <c r="D475" i="8"/>
  <c r="C475" i="8"/>
  <c r="B475" i="8"/>
  <c r="I474" i="8"/>
  <c r="D474" i="8"/>
  <c r="J474" i="8" s="1"/>
  <c r="C474" i="8"/>
  <c r="B474" i="8"/>
  <c r="I473" i="8"/>
  <c r="D473" i="8"/>
  <c r="J473" i="8" s="1"/>
  <c r="C473" i="8"/>
  <c r="B473" i="8"/>
  <c r="I472" i="8"/>
  <c r="D472" i="8"/>
  <c r="F472" i="8" s="1"/>
  <c r="C472" i="8"/>
  <c r="B472" i="8"/>
  <c r="I471" i="8"/>
  <c r="D471" i="8"/>
  <c r="G471" i="8" s="1"/>
  <c r="C471" i="8"/>
  <c r="B471" i="8"/>
  <c r="I470" i="8"/>
  <c r="D470" i="8"/>
  <c r="J470" i="8" s="1"/>
  <c r="C470" i="8"/>
  <c r="B470" i="8"/>
  <c r="I469" i="8"/>
  <c r="D469" i="8"/>
  <c r="C469" i="8"/>
  <c r="B469" i="8"/>
  <c r="I468" i="8"/>
  <c r="D468" i="8"/>
  <c r="J468" i="8" s="1"/>
  <c r="C468" i="8"/>
  <c r="B468" i="8"/>
  <c r="I467" i="8"/>
  <c r="D467" i="8"/>
  <c r="C467" i="8"/>
  <c r="B467" i="8"/>
  <c r="I466" i="8"/>
  <c r="D466" i="8"/>
  <c r="C466" i="8"/>
  <c r="B466" i="8"/>
  <c r="I465" i="8"/>
  <c r="D465" i="8"/>
  <c r="C465" i="8"/>
  <c r="B465" i="8"/>
  <c r="I464" i="8"/>
  <c r="D464" i="8"/>
  <c r="J464" i="8" s="1"/>
  <c r="C464" i="8"/>
  <c r="B464" i="8"/>
  <c r="I463" i="8"/>
  <c r="D463" i="8"/>
  <c r="F463" i="8" s="1"/>
  <c r="C463" i="8"/>
  <c r="B463" i="8"/>
  <c r="I462" i="8"/>
  <c r="D462" i="8"/>
  <c r="G462" i="8" s="1"/>
  <c r="C462" i="8"/>
  <c r="B462" i="8"/>
  <c r="I461" i="8"/>
  <c r="D461" i="8"/>
  <c r="J461" i="8" s="1"/>
  <c r="C461" i="8"/>
  <c r="B461" i="8"/>
  <c r="I460" i="8"/>
  <c r="D460" i="8"/>
  <c r="C460" i="8"/>
  <c r="B460" i="8"/>
  <c r="I459" i="8"/>
  <c r="D459" i="8"/>
  <c r="J459" i="8" s="1"/>
  <c r="C459" i="8"/>
  <c r="B459" i="8"/>
  <c r="I458" i="8"/>
  <c r="D458" i="8"/>
  <c r="C458" i="8"/>
  <c r="B458" i="8"/>
  <c r="I457" i="8"/>
  <c r="D457" i="8"/>
  <c r="C457" i="8"/>
  <c r="B457" i="8"/>
  <c r="I456" i="8"/>
  <c r="D456" i="8"/>
  <c r="J456" i="8" s="1"/>
  <c r="C456" i="8"/>
  <c r="B456" i="8"/>
  <c r="I455" i="8"/>
  <c r="D455" i="8"/>
  <c r="J455" i="8" s="1"/>
  <c r="C455" i="8"/>
  <c r="B455" i="8"/>
  <c r="I454" i="8"/>
  <c r="D454" i="8"/>
  <c r="F454" i="8" s="1"/>
  <c r="C454" i="8"/>
  <c r="B454" i="8"/>
  <c r="I453" i="8"/>
  <c r="F453" i="8"/>
  <c r="D453" i="8"/>
  <c r="J453" i="8" s="1"/>
  <c r="C453" i="8"/>
  <c r="B453" i="8"/>
  <c r="I452" i="8"/>
  <c r="D452" i="8"/>
  <c r="J452" i="8" s="1"/>
  <c r="C452" i="8"/>
  <c r="B452" i="8"/>
  <c r="I451" i="8"/>
  <c r="D451" i="8"/>
  <c r="F451" i="8" s="1"/>
  <c r="C451" i="8"/>
  <c r="B451" i="8"/>
  <c r="I450" i="8"/>
  <c r="D450" i="8"/>
  <c r="G450" i="8" s="1"/>
  <c r="C450" i="8"/>
  <c r="B450" i="8"/>
  <c r="I449" i="8"/>
  <c r="D449" i="8"/>
  <c r="J449" i="8" s="1"/>
  <c r="C449" i="8"/>
  <c r="B449" i="8"/>
  <c r="I448" i="8"/>
  <c r="D448" i="8"/>
  <c r="C448" i="8"/>
  <c r="B448" i="8"/>
  <c r="I447" i="8"/>
  <c r="D447" i="8"/>
  <c r="G447" i="8" s="1"/>
  <c r="C447" i="8"/>
  <c r="B447" i="8"/>
  <c r="I446" i="8"/>
  <c r="D446" i="8"/>
  <c r="J446" i="8" s="1"/>
  <c r="C446" i="8"/>
  <c r="B446" i="8"/>
  <c r="I445" i="8"/>
  <c r="D445" i="8"/>
  <c r="F445" i="8" s="1"/>
  <c r="C445" i="8"/>
  <c r="B445" i="8"/>
  <c r="I444" i="8"/>
  <c r="D444" i="8"/>
  <c r="J444" i="8" s="1"/>
  <c r="C444" i="8"/>
  <c r="B444" i="8"/>
  <c r="I443" i="8"/>
  <c r="D443" i="8"/>
  <c r="J443" i="8" s="1"/>
  <c r="C443" i="8"/>
  <c r="B443" i="8"/>
  <c r="I442" i="8"/>
  <c r="D442" i="8"/>
  <c r="J442" i="8" s="1"/>
  <c r="C442" i="8"/>
  <c r="B442" i="8"/>
  <c r="I441" i="8"/>
  <c r="D441" i="8"/>
  <c r="J441" i="8" s="1"/>
  <c r="C441" i="8"/>
  <c r="B441" i="8"/>
  <c r="I440" i="8"/>
  <c r="D440" i="8"/>
  <c r="J440" i="8" s="1"/>
  <c r="C440" i="8"/>
  <c r="B440" i="8"/>
  <c r="I439" i="8"/>
  <c r="D439" i="8"/>
  <c r="F439" i="8" s="1"/>
  <c r="C439" i="8"/>
  <c r="B439" i="8"/>
  <c r="I438" i="8"/>
  <c r="D438" i="8"/>
  <c r="J438" i="8" s="1"/>
  <c r="C438" i="8"/>
  <c r="B438" i="8"/>
  <c r="I437" i="8"/>
  <c r="D437" i="8"/>
  <c r="J437" i="8" s="1"/>
  <c r="C437" i="8"/>
  <c r="B437" i="8"/>
  <c r="I436" i="8"/>
  <c r="D436" i="8"/>
  <c r="E436" i="8" s="1"/>
  <c r="C436" i="8"/>
  <c r="B436" i="8"/>
  <c r="I435" i="8"/>
  <c r="D435" i="8"/>
  <c r="E435" i="8" s="1"/>
  <c r="C435" i="8"/>
  <c r="B435" i="8"/>
  <c r="I434" i="8"/>
  <c r="D434" i="8"/>
  <c r="C434" i="8"/>
  <c r="B434" i="8"/>
  <c r="I433" i="8"/>
  <c r="D433" i="8"/>
  <c r="E433" i="8" s="1"/>
  <c r="C433" i="8"/>
  <c r="B433" i="8"/>
  <c r="I432" i="8"/>
  <c r="D432" i="8"/>
  <c r="E432" i="8" s="1"/>
  <c r="C432" i="8"/>
  <c r="B432" i="8"/>
  <c r="I431" i="8"/>
  <c r="D431" i="8"/>
  <c r="J431" i="8" s="1"/>
  <c r="C431" i="8"/>
  <c r="B431" i="8"/>
  <c r="I430" i="8"/>
  <c r="D430" i="8"/>
  <c r="E430" i="8" s="1"/>
  <c r="C430" i="8"/>
  <c r="B430" i="8"/>
  <c r="I429" i="8"/>
  <c r="D429" i="8"/>
  <c r="C429" i="8"/>
  <c r="B429" i="8"/>
  <c r="I428" i="8"/>
  <c r="D428" i="8"/>
  <c r="G428" i="8" s="1"/>
  <c r="C428" i="8"/>
  <c r="B428" i="8"/>
  <c r="I427" i="8"/>
  <c r="D427" i="8"/>
  <c r="G427" i="8" s="1"/>
  <c r="C427" i="8"/>
  <c r="B427" i="8"/>
  <c r="I426" i="8"/>
  <c r="D426" i="8"/>
  <c r="C426" i="8"/>
  <c r="B426" i="8"/>
  <c r="I425" i="8"/>
  <c r="D425" i="8"/>
  <c r="G425" i="8" s="1"/>
  <c r="C425" i="8"/>
  <c r="B425" i="8"/>
  <c r="I424" i="8"/>
  <c r="D424" i="8"/>
  <c r="G424" i="8" s="1"/>
  <c r="C424" i="8"/>
  <c r="B424" i="8"/>
  <c r="I423" i="8"/>
  <c r="D423" i="8"/>
  <c r="C423" i="8"/>
  <c r="B423" i="8"/>
  <c r="I422" i="8"/>
  <c r="D422" i="8"/>
  <c r="G422" i="8" s="1"/>
  <c r="C422" i="8"/>
  <c r="B422" i="8"/>
  <c r="I421" i="8"/>
  <c r="D421" i="8"/>
  <c r="G421" i="8" s="1"/>
  <c r="C421" i="8"/>
  <c r="B421" i="8"/>
  <c r="I420" i="8"/>
  <c r="D420" i="8"/>
  <c r="C420" i="8"/>
  <c r="B420" i="8"/>
  <c r="I419" i="8"/>
  <c r="D419" i="8"/>
  <c r="G419" i="8" s="1"/>
  <c r="C419" i="8"/>
  <c r="B419" i="8"/>
  <c r="I418" i="8"/>
  <c r="D418" i="8"/>
  <c r="G418" i="8" s="1"/>
  <c r="C418" i="8"/>
  <c r="B418" i="8"/>
  <c r="I417" i="8"/>
  <c r="D417" i="8"/>
  <c r="C417" i="8"/>
  <c r="B417" i="8"/>
  <c r="I416" i="8"/>
  <c r="D416" i="8"/>
  <c r="G416" i="8" s="1"/>
  <c r="C416" i="8"/>
  <c r="B416" i="8"/>
  <c r="I415" i="8"/>
  <c r="D415" i="8"/>
  <c r="G415" i="8" s="1"/>
  <c r="C415" i="8"/>
  <c r="B415" i="8"/>
  <c r="I414" i="8"/>
  <c r="D414" i="8"/>
  <c r="C414" i="8"/>
  <c r="B414" i="8"/>
  <c r="I413" i="8"/>
  <c r="D413" i="8"/>
  <c r="G413" i="8" s="1"/>
  <c r="C413" i="8"/>
  <c r="B413" i="8"/>
  <c r="I412" i="8"/>
  <c r="D412" i="8"/>
  <c r="G412" i="8" s="1"/>
  <c r="C412" i="8"/>
  <c r="B412" i="8"/>
  <c r="I411" i="8"/>
  <c r="D411" i="8"/>
  <c r="C411" i="8"/>
  <c r="B411" i="8"/>
  <c r="I410" i="8"/>
  <c r="D410" i="8"/>
  <c r="G410" i="8" s="1"/>
  <c r="C410" i="8"/>
  <c r="B410" i="8"/>
  <c r="I409" i="8"/>
  <c r="D409" i="8"/>
  <c r="G409" i="8" s="1"/>
  <c r="C409" i="8"/>
  <c r="B409" i="8"/>
  <c r="I408" i="8"/>
  <c r="D408" i="8"/>
  <c r="C408" i="8"/>
  <c r="B408" i="8"/>
  <c r="I407" i="8"/>
  <c r="D407" i="8"/>
  <c r="G407" i="8" s="1"/>
  <c r="C407" i="8"/>
  <c r="B407" i="8"/>
  <c r="I406" i="8"/>
  <c r="D406" i="8"/>
  <c r="G406" i="8" s="1"/>
  <c r="C406" i="8"/>
  <c r="B406" i="8"/>
  <c r="I405" i="8"/>
  <c r="D405" i="8"/>
  <c r="C405" i="8"/>
  <c r="B405" i="8"/>
  <c r="I404" i="8"/>
  <c r="D404" i="8"/>
  <c r="G404" i="8" s="1"/>
  <c r="C404" i="8"/>
  <c r="B404" i="8"/>
  <c r="I403" i="8"/>
  <c r="D403" i="8"/>
  <c r="G403" i="8" s="1"/>
  <c r="C403" i="8"/>
  <c r="B403" i="8"/>
  <c r="I402" i="8"/>
  <c r="D402" i="8"/>
  <c r="C402" i="8"/>
  <c r="B402" i="8"/>
  <c r="I401" i="8"/>
  <c r="D401" i="8"/>
  <c r="G401" i="8" s="1"/>
  <c r="C401" i="8"/>
  <c r="B401" i="8"/>
  <c r="I400" i="8"/>
  <c r="D400" i="8"/>
  <c r="G400" i="8" s="1"/>
  <c r="C400" i="8"/>
  <c r="B400" i="8"/>
  <c r="I399" i="8"/>
  <c r="D399" i="8"/>
  <c r="C399" i="8"/>
  <c r="B399" i="8"/>
  <c r="I398" i="8"/>
  <c r="D398" i="8"/>
  <c r="G398" i="8" s="1"/>
  <c r="C398" i="8"/>
  <c r="B398" i="8"/>
  <c r="I397" i="8"/>
  <c r="D397" i="8"/>
  <c r="G397" i="8" s="1"/>
  <c r="C397" i="8"/>
  <c r="B397" i="8"/>
  <c r="I396" i="8"/>
  <c r="D396" i="8"/>
  <c r="C396" i="8"/>
  <c r="B396" i="8"/>
  <c r="I395" i="8"/>
  <c r="D395" i="8"/>
  <c r="G395" i="8" s="1"/>
  <c r="C395" i="8"/>
  <c r="B395" i="8"/>
  <c r="I394" i="8"/>
  <c r="D394" i="8"/>
  <c r="G394" i="8" s="1"/>
  <c r="C394" i="8"/>
  <c r="B394" i="8"/>
  <c r="I393" i="8"/>
  <c r="D393" i="8"/>
  <c r="C393" i="8"/>
  <c r="B393" i="8"/>
  <c r="I392" i="8"/>
  <c r="D392" i="8"/>
  <c r="G392" i="8" s="1"/>
  <c r="C392" i="8"/>
  <c r="B392" i="8"/>
  <c r="I391" i="8"/>
  <c r="D391" i="8"/>
  <c r="G391" i="8" s="1"/>
  <c r="C391" i="8"/>
  <c r="B391" i="8"/>
  <c r="I390" i="8"/>
  <c r="D390" i="8"/>
  <c r="C390" i="8"/>
  <c r="B390" i="8"/>
  <c r="I389" i="8"/>
  <c r="D389" i="8"/>
  <c r="G389" i="8" s="1"/>
  <c r="C389" i="8"/>
  <c r="B389" i="8"/>
  <c r="I388" i="8"/>
  <c r="D388" i="8"/>
  <c r="G388" i="8" s="1"/>
  <c r="C388" i="8"/>
  <c r="B388" i="8"/>
  <c r="I387" i="8"/>
  <c r="D387" i="8"/>
  <c r="C387" i="8"/>
  <c r="B387" i="8"/>
  <c r="I386" i="8"/>
  <c r="D386" i="8"/>
  <c r="G386" i="8" s="1"/>
  <c r="C386" i="8"/>
  <c r="B386" i="8"/>
  <c r="I385" i="8"/>
  <c r="D385" i="8"/>
  <c r="G385" i="8" s="1"/>
  <c r="C385" i="8"/>
  <c r="B385" i="8"/>
  <c r="I384" i="8"/>
  <c r="D384" i="8"/>
  <c r="C384" i="8"/>
  <c r="B384" i="8"/>
  <c r="I383" i="8"/>
  <c r="D383" i="8"/>
  <c r="G383" i="8" s="1"/>
  <c r="C383" i="8"/>
  <c r="B383" i="8"/>
  <c r="I382" i="8"/>
  <c r="D382" i="8"/>
  <c r="G382" i="8" s="1"/>
  <c r="C382" i="8"/>
  <c r="B382" i="8"/>
  <c r="I381" i="8"/>
  <c r="D381" i="8"/>
  <c r="C381" i="8"/>
  <c r="B381" i="8"/>
  <c r="I380" i="8"/>
  <c r="D380" i="8"/>
  <c r="G380" i="8" s="1"/>
  <c r="C380" i="8"/>
  <c r="B380" i="8"/>
  <c r="I379" i="8"/>
  <c r="D379" i="8"/>
  <c r="G379" i="8" s="1"/>
  <c r="C379" i="8"/>
  <c r="B379" i="8"/>
  <c r="I378" i="8"/>
  <c r="D378" i="8"/>
  <c r="C378" i="8"/>
  <c r="B378" i="8"/>
  <c r="I377" i="8"/>
  <c r="D377" i="8"/>
  <c r="G377" i="8" s="1"/>
  <c r="C377" i="8"/>
  <c r="B377" i="8"/>
  <c r="I376" i="8"/>
  <c r="D376" i="8"/>
  <c r="G376" i="8" s="1"/>
  <c r="C376" i="8"/>
  <c r="B376" i="8"/>
  <c r="I375" i="8"/>
  <c r="D375" i="8"/>
  <c r="C375" i="8"/>
  <c r="B375" i="8"/>
  <c r="I374" i="8"/>
  <c r="D374" i="8"/>
  <c r="G374" i="8" s="1"/>
  <c r="C374" i="8"/>
  <c r="B374" i="8"/>
  <c r="I373" i="8"/>
  <c r="D373" i="8"/>
  <c r="G373" i="8" s="1"/>
  <c r="C373" i="8"/>
  <c r="B373" i="8"/>
  <c r="I372" i="8"/>
  <c r="D372" i="8"/>
  <c r="C372" i="8"/>
  <c r="B372" i="8"/>
  <c r="I371" i="8"/>
  <c r="D371" i="8"/>
  <c r="G371" i="8" s="1"/>
  <c r="C371" i="8"/>
  <c r="B371" i="8"/>
  <c r="I370" i="8"/>
  <c r="E370" i="8"/>
  <c r="D370" i="8"/>
  <c r="G370" i="8" s="1"/>
  <c r="C370" i="8"/>
  <c r="B370" i="8"/>
  <c r="I369" i="8"/>
  <c r="D369" i="8"/>
  <c r="C369" i="8"/>
  <c r="B369" i="8"/>
  <c r="I368" i="8"/>
  <c r="D368" i="8"/>
  <c r="G368" i="8" s="1"/>
  <c r="C368" i="8"/>
  <c r="B368" i="8"/>
  <c r="I367" i="8"/>
  <c r="D367" i="8"/>
  <c r="G367" i="8" s="1"/>
  <c r="C367" i="8"/>
  <c r="B367" i="8"/>
  <c r="I366" i="8"/>
  <c r="D366" i="8"/>
  <c r="C366" i="8"/>
  <c r="B366" i="8"/>
  <c r="I365" i="8"/>
  <c r="D365" i="8"/>
  <c r="G365" i="8" s="1"/>
  <c r="C365" i="8"/>
  <c r="B365" i="8"/>
  <c r="I364" i="8"/>
  <c r="D364" i="8"/>
  <c r="C364" i="8"/>
  <c r="B364" i="8"/>
  <c r="B363" i="8"/>
  <c r="C363" i="8" s="1"/>
  <c r="B362" i="8"/>
  <c r="C362" i="8" s="1"/>
  <c r="B361" i="8"/>
  <c r="C361" i="8" s="1"/>
  <c r="B360" i="8"/>
  <c r="C360" i="8" s="1"/>
  <c r="B359" i="8"/>
  <c r="C359" i="8" s="1"/>
  <c r="B358" i="8"/>
  <c r="C358" i="8" s="1"/>
  <c r="B357" i="8"/>
  <c r="C357" i="8" s="1"/>
  <c r="B356" i="8"/>
  <c r="C356" i="8" s="1"/>
  <c r="B355" i="8"/>
  <c r="C355" i="8" s="1"/>
  <c r="B354" i="8"/>
  <c r="C354" i="8" s="1"/>
  <c r="B353" i="8"/>
  <c r="C353" i="8" s="1"/>
  <c r="B352" i="8"/>
  <c r="C352" i="8" s="1"/>
  <c r="B351" i="8"/>
  <c r="C351" i="8" s="1"/>
  <c r="B350" i="8"/>
  <c r="C350" i="8" s="1"/>
  <c r="B349" i="8"/>
  <c r="C349" i="8" s="1"/>
  <c r="B348" i="8"/>
  <c r="C348" i="8" s="1"/>
  <c r="B347" i="8"/>
  <c r="C347" i="8" s="1"/>
  <c r="B346" i="8"/>
  <c r="C346" i="8" s="1"/>
  <c r="B345" i="8"/>
  <c r="C345" i="8" s="1"/>
  <c r="B344" i="8"/>
  <c r="C344" i="8" s="1"/>
  <c r="B343" i="8"/>
  <c r="C343" i="8" s="1"/>
  <c r="B342" i="8"/>
  <c r="C342" i="8" s="1"/>
  <c r="B341" i="8"/>
  <c r="C341" i="8" s="1"/>
  <c r="B340" i="8"/>
  <c r="C340" i="8" s="1"/>
  <c r="B339" i="8"/>
  <c r="C339" i="8" s="1"/>
  <c r="B338" i="8"/>
  <c r="C338" i="8" s="1"/>
  <c r="B337" i="8"/>
  <c r="C337" i="8" s="1"/>
  <c r="B336" i="8"/>
  <c r="C336" i="8" s="1"/>
  <c r="B335" i="8"/>
  <c r="C335" i="8" s="1"/>
  <c r="B334" i="8"/>
  <c r="C334" i="8" s="1"/>
  <c r="B333" i="8"/>
  <c r="C333" i="8" s="1"/>
  <c r="B332" i="8"/>
  <c r="C332" i="8" s="1"/>
  <c r="B331" i="8"/>
  <c r="C331" i="8" s="1"/>
  <c r="B330" i="8"/>
  <c r="C330" i="8" s="1"/>
  <c r="B329" i="8"/>
  <c r="C329" i="8" s="1"/>
  <c r="B328" i="8"/>
  <c r="C328" i="8" s="1"/>
  <c r="B327" i="8"/>
  <c r="C327" i="8" s="1"/>
  <c r="B326" i="8"/>
  <c r="C326" i="8" s="1"/>
  <c r="B325" i="8"/>
  <c r="C325" i="8" s="1"/>
  <c r="B324" i="8"/>
  <c r="C324" i="8" s="1"/>
  <c r="B323" i="8"/>
  <c r="C323" i="8" s="1"/>
  <c r="B322" i="8"/>
  <c r="C322" i="8" s="1"/>
  <c r="B321" i="8"/>
  <c r="C321" i="8" s="1"/>
  <c r="B320" i="8"/>
  <c r="C320" i="8" s="1"/>
  <c r="B319" i="8"/>
  <c r="C319" i="8" s="1"/>
  <c r="B318" i="8"/>
  <c r="C318" i="8" s="1"/>
  <c r="B317" i="8"/>
  <c r="C317" i="8" s="1"/>
  <c r="B316" i="8"/>
  <c r="C316" i="8" s="1"/>
  <c r="B315" i="8"/>
  <c r="C315" i="8" s="1"/>
  <c r="B314" i="8"/>
  <c r="C314" i="8" s="1"/>
  <c r="B313" i="8"/>
  <c r="C313" i="8" s="1"/>
  <c r="B312" i="8"/>
  <c r="C312" i="8" s="1"/>
  <c r="B311" i="8"/>
  <c r="C311" i="8" s="1"/>
  <c r="B310" i="8"/>
  <c r="C310" i="8" s="1"/>
  <c r="B309" i="8"/>
  <c r="C309" i="8" s="1"/>
  <c r="B308" i="8"/>
  <c r="C308" i="8" s="1"/>
  <c r="B307" i="8"/>
  <c r="C307" i="8" s="1"/>
  <c r="B306" i="8"/>
  <c r="C306" i="8" s="1"/>
  <c r="B305" i="8"/>
  <c r="C305" i="8" s="1"/>
  <c r="B304" i="8"/>
  <c r="C304" i="8" s="1"/>
  <c r="B303" i="8"/>
  <c r="C303" i="8" s="1"/>
  <c r="B302" i="8"/>
  <c r="C302" i="8" s="1"/>
  <c r="B301" i="8"/>
  <c r="C301" i="8" s="1"/>
  <c r="B300" i="8"/>
  <c r="C300" i="8" s="1"/>
  <c r="B299" i="8"/>
  <c r="C299" i="8" s="1"/>
  <c r="B298" i="8"/>
  <c r="C298" i="8" s="1"/>
  <c r="B297" i="8"/>
  <c r="C297" i="8" s="1"/>
  <c r="B296" i="8"/>
  <c r="C296" i="8" s="1"/>
  <c r="B295" i="8"/>
  <c r="C295" i="8" s="1"/>
  <c r="B294" i="8"/>
  <c r="C294" i="8" s="1"/>
  <c r="B293" i="8"/>
  <c r="C293" i="8" s="1"/>
  <c r="B292" i="8"/>
  <c r="C292" i="8" s="1"/>
  <c r="B291" i="8"/>
  <c r="C291" i="8" s="1"/>
  <c r="B290" i="8"/>
  <c r="C290" i="8" s="1"/>
  <c r="B289" i="8"/>
  <c r="C289" i="8" s="1"/>
  <c r="B288" i="8"/>
  <c r="C288" i="8" s="1"/>
  <c r="B287" i="8"/>
  <c r="C287" i="8" s="1"/>
  <c r="B286" i="8"/>
  <c r="C286" i="8" s="1"/>
  <c r="B285" i="8"/>
  <c r="C285" i="8" s="1"/>
  <c r="B284" i="8"/>
  <c r="C284" i="8" s="1"/>
  <c r="B283" i="8"/>
  <c r="C283" i="8" s="1"/>
  <c r="B282" i="8"/>
  <c r="C282" i="8" s="1"/>
  <c r="B281" i="8"/>
  <c r="C281" i="8" s="1"/>
  <c r="B280" i="8"/>
  <c r="C280" i="8" s="1"/>
  <c r="B279" i="8"/>
  <c r="C279" i="8" s="1"/>
  <c r="B278" i="8"/>
  <c r="C278" i="8" s="1"/>
  <c r="B277" i="8"/>
  <c r="C277" i="8" s="1"/>
  <c r="B276" i="8"/>
  <c r="C276" i="8" s="1"/>
  <c r="B275" i="8"/>
  <c r="C275" i="8" s="1"/>
  <c r="B274" i="8"/>
  <c r="C274" i="8" s="1"/>
  <c r="B273" i="8"/>
  <c r="C273" i="8" s="1"/>
  <c r="B272" i="8"/>
  <c r="C272" i="8" s="1"/>
  <c r="B271" i="8"/>
  <c r="C271" i="8" s="1"/>
  <c r="B270" i="8"/>
  <c r="C270" i="8" s="1"/>
  <c r="B269" i="8"/>
  <c r="C269" i="8" s="1"/>
  <c r="B268" i="8"/>
  <c r="C268" i="8" s="1"/>
  <c r="B267" i="8"/>
  <c r="C267" i="8" s="1"/>
  <c r="B266" i="8"/>
  <c r="C266" i="8" s="1"/>
  <c r="B265" i="8"/>
  <c r="C265" i="8" s="1"/>
  <c r="B264" i="8"/>
  <c r="C264" i="8" s="1"/>
  <c r="B263" i="8"/>
  <c r="C263" i="8" s="1"/>
  <c r="B262" i="8"/>
  <c r="C262" i="8" s="1"/>
  <c r="B261" i="8"/>
  <c r="C261" i="8" s="1"/>
  <c r="B260" i="8"/>
  <c r="C260" i="8" s="1"/>
  <c r="B259" i="8"/>
  <c r="C259" i="8" s="1"/>
  <c r="B258" i="8"/>
  <c r="C258" i="8" s="1"/>
  <c r="B257" i="8"/>
  <c r="C257" i="8" s="1"/>
  <c r="B256" i="8"/>
  <c r="C256" i="8" s="1"/>
  <c r="B255" i="8"/>
  <c r="C255" i="8" s="1"/>
  <c r="B254" i="8"/>
  <c r="C254" i="8" s="1"/>
  <c r="B253" i="8"/>
  <c r="C253" i="8" s="1"/>
  <c r="B252" i="8"/>
  <c r="C252" i="8" s="1"/>
  <c r="B251" i="8"/>
  <c r="C251" i="8" s="1"/>
  <c r="B250" i="8"/>
  <c r="C250" i="8" s="1"/>
  <c r="B249" i="8"/>
  <c r="C249" i="8" s="1"/>
  <c r="B248" i="8"/>
  <c r="C248" i="8" s="1"/>
  <c r="B247" i="8"/>
  <c r="C247" i="8" s="1"/>
  <c r="B246" i="8"/>
  <c r="C246" i="8" s="1"/>
  <c r="B245" i="8"/>
  <c r="C245" i="8" s="1"/>
  <c r="B244" i="8"/>
  <c r="C244" i="8" s="1"/>
  <c r="B243" i="8"/>
  <c r="C243" i="8" s="1"/>
  <c r="B242" i="8"/>
  <c r="C242" i="8" s="1"/>
  <c r="B241" i="8"/>
  <c r="C241" i="8" s="1"/>
  <c r="B240" i="8"/>
  <c r="C240" i="8" s="1"/>
  <c r="B239" i="8"/>
  <c r="C239" i="8" s="1"/>
  <c r="B238" i="8"/>
  <c r="C238" i="8" s="1"/>
  <c r="B237" i="8"/>
  <c r="C237" i="8" s="1"/>
  <c r="B236" i="8"/>
  <c r="C236" i="8" s="1"/>
  <c r="B235" i="8"/>
  <c r="C235" i="8" s="1"/>
  <c r="B234" i="8"/>
  <c r="C234" i="8" s="1"/>
  <c r="B233" i="8"/>
  <c r="C233" i="8" s="1"/>
  <c r="B232" i="8"/>
  <c r="C232" i="8" s="1"/>
  <c r="B231" i="8"/>
  <c r="C231" i="8" s="1"/>
  <c r="B230" i="8"/>
  <c r="C230" i="8" s="1"/>
  <c r="B229" i="8"/>
  <c r="C229" i="8" s="1"/>
  <c r="B228" i="8"/>
  <c r="C228" i="8" s="1"/>
  <c r="B227" i="8"/>
  <c r="C227" i="8" s="1"/>
  <c r="B226" i="8"/>
  <c r="C226" i="8" s="1"/>
  <c r="B225" i="8"/>
  <c r="C225" i="8" s="1"/>
  <c r="B224" i="8"/>
  <c r="C224" i="8" s="1"/>
  <c r="B223" i="8"/>
  <c r="C223" i="8" s="1"/>
  <c r="B222" i="8"/>
  <c r="C222" i="8" s="1"/>
  <c r="B221" i="8"/>
  <c r="C221" i="8" s="1"/>
  <c r="B220" i="8"/>
  <c r="C220" i="8" s="1"/>
  <c r="B219" i="8"/>
  <c r="C219" i="8" s="1"/>
  <c r="B218" i="8"/>
  <c r="C218" i="8" s="1"/>
  <c r="B217" i="8"/>
  <c r="C217" i="8" s="1"/>
  <c r="B216" i="8"/>
  <c r="C216" i="8" s="1"/>
  <c r="B215" i="8"/>
  <c r="C215" i="8" s="1"/>
  <c r="B214" i="8"/>
  <c r="C214" i="8" s="1"/>
  <c r="B213" i="8"/>
  <c r="C213" i="8" s="1"/>
  <c r="B212" i="8"/>
  <c r="C212" i="8" s="1"/>
  <c r="B211" i="8"/>
  <c r="C211" i="8" s="1"/>
  <c r="B210" i="8"/>
  <c r="C210" i="8" s="1"/>
  <c r="B209" i="8"/>
  <c r="C209" i="8" s="1"/>
  <c r="B208" i="8"/>
  <c r="C208" i="8" s="1"/>
  <c r="B207" i="8"/>
  <c r="C207" i="8" s="1"/>
  <c r="B206" i="8"/>
  <c r="C206" i="8" s="1"/>
  <c r="B205" i="8"/>
  <c r="C205" i="8" s="1"/>
  <c r="B204" i="8"/>
  <c r="C204" i="8" s="1"/>
  <c r="B203" i="8"/>
  <c r="C203" i="8" s="1"/>
  <c r="B202" i="8"/>
  <c r="C202" i="8" s="1"/>
  <c r="B201" i="8"/>
  <c r="C201" i="8" s="1"/>
  <c r="B200" i="8"/>
  <c r="C200" i="8" s="1"/>
  <c r="B199" i="8"/>
  <c r="C199" i="8" s="1"/>
  <c r="B198" i="8"/>
  <c r="C198" i="8" s="1"/>
  <c r="B197" i="8"/>
  <c r="C197" i="8" s="1"/>
  <c r="B196" i="8"/>
  <c r="C196" i="8" s="1"/>
  <c r="B195" i="8"/>
  <c r="C195" i="8" s="1"/>
  <c r="B194" i="8"/>
  <c r="C194" i="8" s="1"/>
  <c r="B193" i="8"/>
  <c r="C193" i="8" s="1"/>
  <c r="B192" i="8"/>
  <c r="C192" i="8" s="1"/>
  <c r="B191" i="8"/>
  <c r="C191" i="8" s="1"/>
  <c r="B190" i="8"/>
  <c r="C190" i="8" s="1"/>
  <c r="B189" i="8"/>
  <c r="C189" i="8" s="1"/>
  <c r="B188" i="8"/>
  <c r="C188" i="8" s="1"/>
  <c r="B187" i="8"/>
  <c r="C187" i="8" s="1"/>
  <c r="B186" i="8"/>
  <c r="C186" i="8" s="1"/>
  <c r="B185" i="8"/>
  <c r="C185" i="8" s="1"/>
  <c r="B184" i="8"/>
  <c r="C184" i="8" s="1"/>
  <c r="B183" i="8"/>
  <c r="C183" i="8" s="1"/>
  <c r="B182" i="8"/>
  <c r="C182" i="8" s="1"/>
  <c r="B181" i="8"/>
  <c r="C181" i="8" s="1"/>
  <c r="B180" i="8"/>
  <c r="C180" i="8" s="1"/>
  <c r="B179" i="8"/>
  <c r="C179" i="8" s="1"/>
  <c r="B178" i="8"/>
  <c r="C178" i="8" s="1"/>
  <c r="B177" i="8"/>
  <c r="C177" i="8" s="1"/>
  <c r="B176" i="8"/>
  <c r="C176" i="8" s="1"/>
  <c r="B175" i="8"/>
  <c r="C175" i="8" s="1"/>
  <c r="B174" i="8"/>
  <c r="C174" i="8" s="1"/>
  <c r="B173" i="8"/>
  <c r="C173" i="8" s="1"/>
  <c r="B172" i="8"/>
  <c r="C172" i="8" s="1"/>
  <c r="B171" i="8"/>
  <c r="C171" i="8" s="1"/>
  <c r="B170" i="8"/>
  <c r="C170" i="8" s="1"/>
  <c r="B169" i="8"/>
  <c r="C169" i="8" s="1"/>
  <c r="B168" i="8"/>
  <c r="C168" i="8" s="1"/>
  <c r="B167" i="8"/>
  <c r="C167" i="8" s="1"/>
  <c r="B166" i="8"/>
  <c r="C166" i="8" s="1"/>
  <c r="B165" i="8"/>
  <c r="C165" i="8" s="1"/>
  <c r="B164" i="8"/>
  <c r="C164" i="8" s="1"/>
  <c r="B163" i="8"/>
  <c r="C163" i="8" s="1"/>
  <c r="B162" i="8"/>
  <c r="C162" i="8" s="1"/>
  <c r="B161" i="8"/>
  <c r="C161" i="8" s="1"/>
  <c r="B160" i="8"/>
  <c r="C160" i="8" s="1"/>
  <c r="B159" i="8"/>
  <c r="C159" i="8" s="1"/>
  <c r="B158" i="8"/>
  <c r="C158" i="8" s="1"/>
  <c r="B157" i="8"/>
  <c r="C157" i="8" s="1"/>
  <c r="B156" i="8"/>
  <c r="C156" i="8" s="1"/>
  <c r="B155" i="8"/>
  <c r="C155" i="8" s="1"/>
  <c r="B154" i="8"/>
  <c r="C154" i="8" s="1"/>
  <c r="B153" i="8"/>
  <c r="C153" i="8" s="1"/>
  <c r="B152" i="8"/>
  <c r="C152" i="8" s="1"/>
  <c r="B151" i="8"/>
  <c r="C151" i="8" s="1"/>
  <c r="B150" i="8"/>
  <c r="C150" i="8" s="1"/>
  <c r="B149" i="8"/>
  <c r="C149" i="8" s="1"/>
  <c r="B148" i="8"/>
  <c r="C148" i="8" s="1"/>
  <c r="B147" i="8"/>
  <c r="C147" i="8" s="1"/>
  <c r="B146" i="8"/>
  <c r="C146" i="8" s="1"/>
  <c r="B145" i="8"/>
  <c r="C145" i="8" s="1"/>
  <c r="B144" i="8"/>
  <c r="C144" i="8" s="1"/>
  <c r="B143" i="8"/>
  <c r="C143" i="8" s="1"/>
  <c r="B142" i="8"/>
  <c r="C142" i="8" s="1"/>
  <c r="B141" i="8"/>
  <c r="C141" i="8" s="1"/>
  <c r="B140" i="8"/>
  <c r="C140" i="8" s="1"/>
  <c r="B139" i="8"/>
  <c r="C139" i="8" s="1"/>
  <c r="B138" i="8"/>
  <c r="C138" i="8" s="1"/>
  <c r="B137" i="8"/>
  <c r="C137" i="8" s="1"/>
  <c r="B136" i="8"/>
  <c r="C136" i="8" s="1"/>
  <c r="B135" i="8"/>
  <c r="C135" i="8" s="1"/>
  <c r="B134" i="8"/>
  <c r="C134" i="8" s="1"/>
  <c r="B133" i="8"/>
  <c r="C133" i="8" s="1"/>
  <c r="B132" i="8"/>
  <c r="C132" i="8" s="1"/>
  <c r="B131" i="8"/>
  <c r="C131" i="8" s="1"/>
  <c r="B130" i="8"/>
  <c r="C130" i="8" s="1"/>
  <c r="B129" i="8"/>
  <c r="C129" i="8" s="1"/>
  <c r="B128" i="8"/>
  <c r="C128" i="8" s="1"/>
  <c r="B127" i="8"/>
  <c r="C127" i="8" s="1"/>
  <c r="B126" i="8"/>
  <c r="C126" i="8" s="1"/>
  <c r="B125" i="8"/>
  <c r="C125" i="8" s="1"/>
  <c r="B124" i="8"/>
  <c r="C124" i="8" s="1"/>
  <c r="B123" i="8"/>
  <c r="C123" i="8" s="1"/>
  <c r="B122" i="8"/>
  <c r="C122" i="8" s="1"/>
  <c r="B121" i="8"/>
  <c r="C121" i="8" s="1"/>
  <c r="B120" i="8"/>
  <c r="C120" i="8" s="1"/>
  <c r="B119" i="8"/>
  <c r="C119" i="8" s="1"/>
  <c r="B118" i="8"/>
  <c r="C118" i="8" s="1"/>
  <c r="B117" i="8"/>
  <c r="C117" i="8" s="1"/>
  <c r="B116" i="8"/>
  <c r="C116" i="8" s="1"/>
  <c r="B115" i="8"/>
  <c r="C115" i="8" s="1"/>
  <c r="B114" i="8"/>
  <c r="C114" i="8" s="1"/>
  <c r="B113" i="8"/>
  <c r="C113" i="8" s="1"/>
  <c r="B112" i="8"/>
  <c r="C112" i="8" s="1"/>
  <c r="B111" i="8"/>
  <c r="C111" i="8" s="1"/>
  <c r="B110" i="8"/>
  <c r="C110" i="8" s="1"/>
  <c r="B109" i="8"/>
  <c r="C109" i="8" s="1"/>
  <c r="B108" i="8"/>
  <c r="C108" i="8" s="1"/>
  <c r="B107" i="8"/>
  <c r="C107" i="8" s="1"/>
  <c r="B106" i="8"/>
  <c r="C106" i="8" s="1"/>
  <c r="B105" i="8"/>
  <c r="C105" i="8" s="1"/>
  <c r="B104" i="8"/>
  <c r="C104" i="8" s="1"/>
  <c r="B103" i="8"/>
  <c r="C103" i="8" s="1"/>
  <c r="B102" i="8"/>
  <c r="C102" i="8" s="1"/>
  <c r="B101" i="8"/>
  <c r="C101" i="8" s="1"/>
  <c r="B100" i="8"/>
  <c r="C100" i="8" s="1"/>
  <c r="B99" i="8"/>
  <c r="C99" i="8" s="1"/>
  <c r="B98" i="8"/>
  <c r="C98" i="8" s="1"/>
  <c r="B97" i="8"/>
  <c r="C97" i="8" s="1"/>
  <c r="B96" i="8"/>
  <c r="C96" i="8" s="1"/>
  <c r="B95" i="8"/>
  <c r="C95" i="8" s="1"/>
  <c r="B94" i="8"/>
  <c r="C94" i="8" s="1"/>
  <c r="B93" i="8"/>
  <c r="C93" i="8" s="1"/>
  <c r="B92" i="8"/>
  <c r="C92" i="8" s="1"/>
  <c r="B91" i="8"/>
  <c r="C91" i="8" s="1"/>
  <c r="B90" i="8"/>
  <c r="C90" i="8" s="1"/>
  <c r="B89" i="8"/>
  <c r="C89" i="8" s="1"/>
  <c r="B88" i="8"/>
  <c r="C88" i="8" s="1"/>
  <c r="B87" i="8"/>
  <c r="C87" i="8" s="1"/>
  <c r="B86" i="8"/>
  <c r="C86" i="8" s="1"/>
  <c r="B85" i="8"/>
  <c r="C85" i="8" s="1"/>
  <c r="B84" i="8"/>
  <c r="C84" i="8" s="1"/>
  <c r="B83" i="8"/>
  <c r="C83" i="8" s="1"/>
  <c r="B82" i="8"/>
  <c r="C82" i="8" s="1"/>
  <c r="B81" i="8"/>
  <c r="C81" i="8" s="1"/>
  <c r="B80" i="8"/>
  <c r="C80" i="8" s="1"/>
  <c r="B79" i="8"/>
  <c r="C79" i="8" s="1"/>
  <c r="B78" i="8"/>
  <c r="C78" i="8" s="1"/>
  <c r="B77" i="8"/>
  <c r="C77" i="8" s="1"/>
  <c r="B76" i="8"/>
  <c r="C76" i="8" s="1"/>
  <c r="B75" i="8"/>
  <c r="C75" i="8" s="1"/>
  <c r="B74" i="8"/>
  <c r="C74" i="8" s="1"/>
  <c r="B73" i="8"/>
  <c r="C73" i="8" s="1"/>
  <c r="B72" i="8"/>
  <c r="C72" i="8" s="1"/>
  <c r="B71" i="8"/>
  <c r="C71" i="8" s="1"/>
  <c r="B70" i="8"/>
  <c r="C70" i="8" s="1"/>
  <c r="B69" i="8"/>
  <c r="C69" i="8" s="1"/>
  <c r="B68" i="8"/>
  <c r="C68" i="8" s="1"/>
  <c r="B67" i="8"/>
  <c r="C67" i="8" s="1"/>
  <c r="B66" i="8"/>
  <c r="C66" i="8" s="1"/>
  <c r="B65" i="8"/>
  <c r="C65" i="8" s="1"/>
  <c r="B64" i="8"/>
  <c r="C64" i="8" s="1"/>
  <c r="B63" i="8"/>
  <c r="C63" i="8" s="1"/>
  <c r="B62" i="8"/>
  <c r="C62" i="8" s="1"/>
  <c r="B61" i="8"/>
  <c r="C61" i="8" s="1"/>
  <c r="B60" i="8"/>
  <c r="C60" i="8" s="1"/>
  <c r="B59" i="8"/>
  <c r="C59" i="8" s="1"/>
  <c r="B58" i="8"/>
  <c r="C58" i="8" s="1"/>
  <c r="B57" i="8"/>
  <c r="C57" i="8" s="1"/>
  <c r="B56" i="8"/>
  <c r="C56" i="8" s="1"/>
  <c r="B55" i="8"/>
  <c r="C55" i="8" s="1"/>
  <c r="B54" i="8"/>
  <c r="C54" i="8" s="1"/>
  <c r="Q53" i="8"/>
  <c r="P53" i="8"/>
  <c r="O53" i="8"/>
  <c r="N53" i="8"/>
  <c r="M53" i="8"/>
  <c r="L53" i="8"/>
  <c r="B53" i="8"/>
  <c r="C53" i="8" s="1"/>
  <c r="Q52" i="8"/>
  <c r="P52" i="8"/>
  <c r="O52" i="8"/>
  <c r="N52" i="8"/>
  <c r="M52" i="8"/>
  <c r="L52" i="8"/>
  <c r="B52" i="8"/>
  <c r="C52" i="8" s="1"/>
  <c r="Q51" i="8"/>
  <c r="P51" i="8"/>
  <c r="O51" i="8"/>
  <c r="N51" i="8"/>
  <c r="M51" i="8"/>
  <c r="L51" i="8"/>
  <c r="B51" i="8"/>
  <c r="C51" i="8" s="1"/>
  <c r="Q50" i="8"/>
  <c r="P50" i="8"/>
  <c r="O50" i="8"/>
  <c r="N50" i="8"/>
  <c r="M50" i="8"/>
  <c r="L50" i="8"/>
  <c r="B50" i="8"/>
  <c r="C50" i="8" s="1"/>
  <c r="Q49" i="8"/>
  <c r="P49" i="8"/>
  <c r="O49" i="8"/>
  <c r="N49" i="8"/>
  <c r="M49" i="8"/>
  <c r="L49" i="8"/>
  <c r="B49" i="8"/>
  <c r="C49" i="8" s="1"/>
  <c r="Q48" i="8"/>
  <c r="P48" i="8"/>
  <c r="O48" i="8"/>
  <c r="N48" i="8"/>
  <c r="M48" i="8"/>
  <c r="L48" i="8"/>
  <c r="B48" i="8"/>
  <c r="C48" i="8" s="1"/>
  <c r="Q47" i="8"/>
  <c r="P47" i="8"/>
  <c r="O47" i="8"/>
  <c r="N47" i="8"/>
  <c r="M47" i="8"/>
  <c r="L47" i="8"/>
  <c r="B47" i="8"/>
  <c r="C47" i="8" s="1"/>
  <c r="Q46" i="8"/>
  <c r="P46" i="8"/>
  <c r="O46" i="8"/>
  <c r="N46" i="8"/>
  <c r="M46" i="8"/>
  <c r="L46" i="8"/>
  <c r="B46" i="8"/>
  <c r="C46" i="8" s="1"/>
  <c r="Q45" i="8"/>
  <c r="P45" i="8"/>
  <c r="O45" i="8"/>
  <c r="N45" i="8"/>
  <c r="M45" i="8"/>
  <c r="L45" i="8"/>
  <c r="B45" i="8"/>
  <c r="C45" i="8" s="1"/>
  <c r="Q44" i="8"/>
  <c r="P44" i="8"/>
  <c r="O44" i="8"/>
  <c r="N44" i="8"/>
  <c r="M44" i="8"/>
  <c r="L44" i="8"/>
  <c r="B44" i="8"/>
  <c r="C44" i="8" s="1"/>
  <c r="Q43" i="8"/>
  <c r="P43" i="8"/>
  <c r="O43" i="8"/>
  <c r="N43" i="8"/>
  <c r="M43" i="8"/>
  <c r="L43" i="8"/>
  <c r="B43" i="8"/>
  <c r="C43" i="8" s="1"/>
  <c r="Q42" i="8"/>
  <c r="P42" i="8"/>
  <c r="O42" i="8"/>
  <c r="N42" i="8"/>
  <c r="M42" i="8"/>
  <c r="L42" i="8"/>
  <c r="B42" i="8"/>
  <c r="C42" i="8" s="1"/>
  <c r="Q41" i="8"/>
  <c r="P41" i="8"/>
  <c r="O41" i="8"/>
  <c r="N41" i="8"/>
  <c r="M41" i="8"/>
  <c r="L41" i="8"/>
  <c r="B41" i="8"/>
  <c r="C41" i="8" s="1"/>
  <c r="Q40" i="8"/>
  <c r="P40" i="8"/>
  <c r="O40" i="8"/>
  <c r="N40" i="8"/>
  <c r="M40" i="8"/>
  <c r="L40" i="8"/>
  <c r="B40" i="8"/>
  <c r="C40" i="8" s="1"/>
  <c r="Q39" i="8"/>
  <c r="P39" i="8"/>
  <c r="O39" i="8"/>
  <c r="N39" i="8"/>
  <c r="M39" i="8"/>
  <c r="L39" i="8"/>
  <c r="B39" i="8"/>
  <c r="C39" i="8" s="1"/>
  <c r="Q38" i="8"/>
  <c r="P38" i="8"/>
  <c r="O38" i="8"/>
  <c r="N38" i="8"/>
  <c r="M38" i="8"/>
  <c r="L38" i="8"/>
  <c r="B38" i="8"/>
  <c r="C38" i="8" s="1"/>
  <c r="Q37" i="8"/>
  <c r="P37" i="8"/>
  <c r="O37" i="8"/>
  <c r="N37" i="8"/>
  <c r="M37" i="8"/>
  <c r="L37" i="8"/>
  <c r="B37" i="8"/>
  <c r="C37" i="8" s="1"/>
  <c r="Q36" i="8"/>
  <c r="P36" i="8"/>
  <c r="O36" i="8"/>
  <c r="N36" i="8"/>
  <c r="M36" i="8"/>
  <c r="L36" i="8"/>
  <c r="B36" i="8"/>
  <c r="C36" i="8" s="1"/>
  <c r="Q35" i="8"/>
  <c r="P35" i="8"/>
  <c r="O35" i="8"/>
  <c r="N35" i="8"/>
  <c r="M35" i="8"/>
  <c r="L35" i="8"/>
  <c r="B35" i="8"/>
  <c r="C35" i="8" s="1"/>
  <c r="Q34" i="8"/>
  <c r="P34" i="8"/>
  <c r="O34" i="8"/>
  <c r="N34" i="8"/>
  <c r="M34" i="8"/>
  <c r="L34" i="8"/>
  <c r="B34" i="8"/>
  <c r="C34" i="8" s="1"/>
  <c r="Q33" i="8"/>
  <c r="B33" i="8"/>
  <c r="C33" i="8" s="1"/>
  <c r="Q32" i="8"/>
  <c r="B32" i="8"/>
  <c r="C32" i="8" s="1"/>
  <c r="Q31" i="8"/>
  <c r="B31" i="8"/>
  <c r="C31" i="8" s="1"/>
  <c r="Q30" i="8"/>
  <c r="B30" i="8"/>
  <c r="C30" i="8" s="1"/>
  <c r="Q29" i="8"/>
  <c r="B29" i="8"/>
  <c r="C29" i="8" s="1"/>
  <c r="Q28" i="8"/>
  <c r="B28" i="8"/>
  <c r="C28" i="8" s="1"/>
  <c r="Q27" i="8"/>
  <c r="B27" i="8"/>
  <c r="C27" i="8" s="1"/>
  <c r="Q26" i="8"/>
  <c r="B26" i="8"/>
  <c r="C26" i="8" s="1"/>
  <c r="Q25" i="8"/>
  <c r="B25" i="8"/>
  <c r="C25" i="8" s="1"/>
  <c r="Q24" i="8"/>
  <c r="B24" i="8"/>
  <c r="C24" i="8" s="1"/>
  <c r="Q23" i="8"/>
  <c r="B23" i="8"/>
  <c r="C23" i="8" s="1"/>
  <c r="Q22" i="8"/>
  <c r="B22" i="8"/>
  <c r="C22" i="8" s="1"/>
  <c r="Q21" i="8"/>
  <c r="B21" i="8"/>
  <c r="C21" i="8" s="1"/>
  <c r="Q20" i="8"/>
  <c r="B20" i="8"/>
  <c r="C20" i="8" s="1"/>
  <c r="Q19" i="8"/>
  <c r="B19" i="8"/>
  <c r="C19" i="8" s="1"/>
  <c r="Q18" i="8"/>
  <c r="B18" i="8"/>
  <c r="C18" i="8" s="1"/>
  <c r="Q17" i="8"/>
  <c r="B17" i="8"/>
  <c r="C17" i="8" s="1"/>
  <c r="Q16" i="8"/>
  <c r="B16" i="8"/>
  <c r="C16" i="8" s="1"/>
  <c r="Q15" i="8"/>
  <c r="B15" i="8"/>
  <c r="C15" i="8" s="1"/>
  <c r="Q14" i="8"/>
  <c r="B14" i="8"/>
  <c r="C14" i="8" s="1"/>
  <c r="Q13" i="8"/>
  <c r="B13" i="8"/>
  <c r="C13" i="8" s="1"/>
  <c r="Q12" i="8"/>
  <c r="B12" i="8"/>
  <c r="C12" i="8" s="1"/>
  <c r="Q11" i="8"/>
  <c r="B11" i="8"/>
  <c r="C11" i="8" s="1"/>
  <c r="Q10" i="8"/>
  <c r="B10" i="8"/>
  <c r="C10" i="8" s="1"/>
  <c r="Q9" i="8"/>
  <c r="B9" i="8"/>
  <c r="C9" i="8" s="1"/>
  <c r="Q8" i="8"/>
  <c r="B8" i="8"/>
  <c r="C8" i="8" s="1"/>
  <c r="Q7" i="8"/>
  <c r="B7" i="8"/>
  <c r="C7" i="8" s="1"/>
  <c r="Q6" i="8"/>
  <c r="B6" i="8"/>
  <c r="C6" i="8" s="1"/>
  <c r="Q5" i="8"/>
  <c r="B5" i="8"/>
  <c r="C5" i="8" s="1"/>
  <c r="Q4" i="8"/>
  <c r="B4" i="8"/>
  <c r="B3" i="7"/>
  <c r="AD8" i="7" s="1"/>
  <c r="B26" i="5"/>
  <c r="B23" i="5"/>
  <c r="B27" i="5" s="1"/>
  <c r="B20" i="5"/>
  <c r="B30" i="5" s="1"/>
  <c r="B8" i="5"/>
  <c r="B6" i="5"/>
  <c r="H6" i="4"/>
  <c r="H17" i="1" s="1"/>
  <c r="G6" i="4"/>
  <c r="G17" i="1" s="1"/>
  <c r="F6" i="4"/>
  <c r="F17" i="1" s="1"/>
  <c r="E6" i="4"/>
  <c r="E17" i="1" s="1"/>
  <c r="D6" i="4"/>
  <c r="C6" i="4"/>
  <c r="B6" i="4"/>
  <c r="D82" i="3"/>
  <c r="C82" i="3"/>
  <c r="B82" i="3"/>
  <c r="D81" i="3"/>
  <c r="C81" i="3"/>
  <c r="B81" i="3"/>
  <c r="D80" i="3"/>
  <c r="C80" i="3"/>
  <c r="B80" i="3"/>
  <c r="D79" i="3"/>
  <c r="C79" i="3"/>
  <c r="B79" i="3"/>
  <c r="D78" i="3"/>
  <c r="C78" i="3"/>
  <c r="B78" i="3"/>
  <c r="D77" i="3"/>
  <c r="C77" i="3"/>
  <c r="B77" i="3"/>
  <c r="D76" i="3"/>
  <c r="C76" i="3"/>
  <c r="B76" i="3"/>
  <c r="D75" i="3"/>
  <c r="C75" i="3"/>
  <c r="B75" i="3"/>
  <c r="D74" i="3"/>
  <c r="C74" i="3"/>
  <c r="B74" i="3"/>
  <c r="D73" i="3"/>
  <c r="C73" i="3"/>
  <c r="B73" i="3"/>
  <c r="D72" i="3"/>
  <c r="C72" i="3"/>
  <c r="B72" i="3"/>
  <c r="D71" i="3"/>
  <c r="C71" i="3"/>
  <c r="B71" i="3"/>
  <c r="D70" i="3"/>
  <c r="C70" i="3"/>
  <c r="B70" i="3"/>
  <c r="D69" i="3"/>
  <c r="C69" i="3"/>
  <c r="B69" i="3"/>
  <c r="D68" i="3"/>
  <c r="C68" i="3"/>
  <c r="B68" i="3"/>
  <c r="D67" i="3"/>
  <c r="C67" i="3"/>
  <c r="B67" i="3"/>
  <c r="D66" i="3"/>
  <c r="C66" i="3"/>
  <c r="B66" i="3"/>
  <c r="D65" i="3"/>
  <c r="C65" i="3"/>
  <c r="B65" i="3"/>
  <c r="D64" i="3"/>
  <c r="C64" i="3"/>
  <c r="B64" i="3"/>
  <c r="D63" i="3"/>
  <c r="C63" i="3"/>
  <c r="B63" i="3"/>
  <c r="D40" i="3"/>
  <c r="C40" i="3"/>
  <c r="B40" i="3"/>
  <c r="C29" i="3"/>
  <c r="D28" i="3"/>
  <c r="C28" i="3"/>
  <c r="B28" i="3"/>
  <c r="D27" i="3"/>
  <c r="C27" i="3"/>
  <c r="B27" i="3"/>
  <c r="D26" i="3"/>
  <c r="C26" i="3"/>
  <c r="B26" i="3"/>
  <c r="D25" i="3"/>
  <c r="C25" i="3"/>
  <c r="B25" i="3"/>
  <c r="D23" i="3"/>
  <c r="C23" i="3"/>
  <c r="B23" i="3"/>
  <c r="D21" i="3"/>
  <c r="C21" i="3"/>
  <c r="B21" i="3"/>
  <c r="D20" i="3"/>
  <c r="D32" i="3" s="1"/>
  <c r="C20" i="3"/>
  <c r="C32" i="3" s="1"/>
  <c r="B20" i="3"/>
  <c r="B32" i="3" s="1"/>
  <c r="D19" i="3"/>
  <c r="C19" i="3"/>
  <c r="C33" i="3" s="1"/>
  <c r="C34" i="3" s="1"/>
  <c r="B19" i="3"/>
  <c r="B93" i="2"/>
  <c r="B106" i="2" s="1"/>
  <c r="C106" i="2" s="1"/>
  <c r="D106" i="2" s="1"/>
  <c r="E106" i="2" s="1"/>
  <c r="F106" i="2" s="1"/>
  <c r="G106" i="2" s="1"/>
  <c r="H106" i="2" s="1"/>
  <c r="I106" i="2" s="1"/>
  <c r="J106" i="2" s="1"/>
  <c r="K106" i="2" s="1"/>
  <c r="L106" i="2" s="1"/>
  <c r="M106" i="2" s="1"/>
  <c r="N106" i="2" s="1"/>
  <c r="O106" i="2" s="1"/>
  <c r="P106" i="2" s="1"/>
  <c r="Q106" i="2" s="1"/>
  <c r="R106" i="2" s="1"/>
  <c r="S106" i="2" s="1"/>
  <c r="T106" i="2" s="1"/>
  <c r="U106" i="2" s="1"/>
  <c r="V106" i="2" s="1"/>
  <c r="W106" i="2" s="1"/>
  <c r="X106" i="2" s="1"/>
  <c r="Y106" i="2" s="1"/>
  <c r="Z106" i="2" s="1"/>
  <c r="AA106" i="2" s="1"/>
  <c r="AB106" i="2" s="1"/>
  <c r="AC106" i="2" s="1"/>
  <c r="AD106" i="2" s="1"/>
  <c r="AE106" i="2" s="1"/>
  <c r="B78" i="2"/>
  <c r="B18" i="2" s="1"/>
  <c r="B74" i="2"/>
  <c r="B54" i="2"/>
  <c r="B53" i="2"/>
  <c r="B44" i="2"/>
  <c r="B42" i="2"/>
  <c r="B40" i="2"/>
  <c r="B38" i="2"/>
  <c r="B29" i="2"/>
  <c r="B13" i="2"/>
  <c r="J518" i="8" l="1"/>
  <c r="G444" i="8"/>
  <c r="J501" i="8"/>
  <c r="F516" i="8"/>
  <c r="J367" i="8"/>
  <c r="J450" i="8"/>
  <c r="G516" i="8"/>
  <c r="J516" i="8"/>
  <c r="J389" i="8"/>
  <c r="G519" i="8"/>
  <c r="F540" i="8"/>
  <c r="J419" i="8"/>
  <c r="F545" i="8"/>
  <c r="B59" i="2"/>
  <c r="B37" i="3" s="1"/>
  <c r="G560" i="8"/>
  <c r="J560" i="8"/>
  <c r="E450" i="8"/>
  <c r="F450" i="8"/>
  <c r="G518" i="8"/>
  <c r="J403" i="8"/>
  <c r="J471" i="8"/>
  <c r="J377" i="8"/>
  <c r="J415" i="8"/>
  <c r="E418" i="8"/>
  <c r="E446" i="8"/>
  <c r="E483" i="8"/>
  <c r="E494" i="8"/>
  <c r="F533" i="8"/>
  <c r="J566" i="8"/>
  <c r="F590" i="8"/>
  <c r="J383" i="8"/>
  <c r="G483" i="8"/>
  <c r="E497" i="8"/>
  <c r="G533" i="8"/>
  <c r="G590" i="8"/>
  <c r="J432" i="8"/>
  <c r="J427" i="8"/>
  <c r="F430" i="8"/>
  <c r="J486" i="8"/>
  <c r="E492" i="8"/>
  <c r="E509" i="8"/>
  <c r="G531" i="8"/>
  <c r="J533" i="8"/>
  <c r="E539" i="8"/>
  <c r="J590" i="8"/>
  <c r="F512" i="8"/>
  <c r="F539" i="8"/>
  <c r="J430" i="8"/>
  <c r="J370" i="8"/>
  <c r="F557" i="8"/>
  <c r="F600" i="8"/>
  <c r="J365" i="8"/>
  <c r="E406" i="8"/>
  <c r="G542" i="8"/>
  <c r="F555" i="8"/>
  <c r="J425" i="8"/>
  <c r="O8" i="7"/>
  <c r="J379" i="8"/>
  <c r="E382" i="8"/>
  <c r="J395" i="8"/>
  <c r="J406" i="8"/>
  <c r="E456" i="8"/>
  <c r="G477" i="8"/>
  <c r="F492" i="8"/>
  <c r="F494" i="8"/>
  <c r="F507" i="8"/>
  <c r="F509" i="8"/>
  <c r="E524" i="8"/>
  <c r="G540" i="8"/>
  <c r="G545" i="8"/>
  <c r="G582" i="8"/>
  <c r="J401" i="8"/>
  <c r="E444" i="8"/>
  <c r="F456" i="8"/>
  <c r="G492" i="8"/>
  <c r="G494" i="8"/>
  <c r="G507" i="8"/>
  <c r="G509" i="8"/>
  <c r="F524" i="8"/>
  <c r="J531" i="8"/>
  <c r="G599" i="8"/>
  <c r="J371" i="8"/>
  <c r="J382" i="8"/>
  <c r="F444" i="8"/>
  <c r="G456" i="8"/>
  <c r="J477" i="8"/>
  <c r="G524" i="8"/>
  <c r="J540" i="8"/>
  <c r="J545" i="8"/>
  <c r="J507" i="8"/>
  <c r="J599" i="8"/>
  <c r="E527" i="8"/>
  <c r="F537" i="8"/>
  <c r="F564" i="8"/>
  <c r="G578" i="8"/>
  <c r="F591" i="8"/>
  <c r="J391" i="8"/>
  <c r="E394" i="8"/>
  <c r="J407" i="8"/>
  <c r="J418" i="8"/>
  <c r="E437" i="8"/>
  <c r="J462" i="8"/>
  <c r="F468" i="8"/>
  <c r="J483" i="8"/>
  <c r="E503" i="8"/>
  <c r="G527" i="8"/>
  <c r="G537" i="8"/>
  <c r="G539" i="8"/>
  <c r="G564" i="8"/>
  <c r="F581" i="8"/>
  <c r="J413" i="8"/>
  <c r="F437" i="8"/>
  <c r="E471" i="8"/>
  <c r="E486" i="8"/>
  <c r="E488" i="8"/>
  <c r="E495" i="8"/>
  <c r="F503" i="8"/>
  <c r="F510" i="8"/>
  <c r="G546" i="8"/>
  <c r="J551" i="8"/>
  <c r="G581" i="8"/>
  <c r="J394" i="8"/>
  <c r="E427" i="8"/>
  <c r="G432" i="8"/>
  <c r="G437" i="8"/>
  <c r="F471" i="8"/>
  <c r="E473" i="8"/>
  <c r="F486" i="8"/>
  <c r="G503" i="8"/>
  <c r="J527" i="8"/>
  <c r="J537" i="8"/>
  <c r="F549" i="8"/>
  <c r="F570" i="8"/>
  <c r="F518" i="8"/>
  <c r="G549" i="8"/>
  <c r="F560" i="8"/>
  <c r="J581" i="8"/>
  <c r="J558" i="8"/>
  <c r="F558" i="8"/>
  <c r="G558" i="8"/>
  <c r="F442" i="8"/>
  <c r="J500" i="8"/>
  <c r="E500" i="8"/>
  <c r="G500" i="8"/>
  <c r="F500" i="8"/>
  <c r="E515" i="8"/>
  <c r="J515" i="8"/>
  <c r="F515" i="8"/>
  <c r="G515" i="8"/>
  <c r="E522" i="8"/>
  <c r="G522" i="8"/>
  <c r="J522" i="8"/>
  <c r="J543" i="8"/>
  <c r="G543" i="8"/>
  <c r="F465" i="8"/>
  <c r="J465" i="8"/>
  <c r="G465" i="8"/>
  <c r="E465" i="8"/>
  <c r="F522" i="8"/>
  <c r="F543" i="8"/>
  <c r="E452" i="8"/>
  <c r="G435" i="8"/>
  <c r="J435" i="8"/>
  <c r="E575" i="8"/>
  <c r="G575" i="8"/>
  <c r="J575" i="8"/>
  <c r="E498" i="8"/>
  <c r="F498" i="8"/>
  <c r="J498" i="8"/>
  <c r="G498" i="8"/>
  <c r="F513" i="8"/>
  <c r="E513" i="8"/>
  <c r="J513" i="8"/>
  <c r="G513" i="8"/>
  <c r="E530" i="8"/>
  <c r="J530" i="8"/>
  <c r="G530" i="8"/>
  <c r="F530" i="8"/>
  <c r="E554" i="8"/>
  <c r="F554" i="8"/>
  <c r="J554" i="8"/>
  <c r="G554" i="8"/>
  <c r="E480" i="8"/>
  <c r="F480" i="8"/>
  <c r="J480" i="8"/>
  <c r="G480" i="8"/>
  <c r="D48" i="3"/>
  <c r="D33" i="3"/>
  <c r="D34" i="3" s="1"/>
  <c r="B15" i="5"/>
  <c r="B16" i="5"/>
  <c r="A33" i="5" s="1"/>
  <c r="J579" i="8"/>
  <c r="G579" i="8"/>
  <c r="B48" i="2"/>
  <c r="B49" i="2" s="1"/>
  <c r="F579" i="8"/>
  <c r="J392" i="8"/>
  <c r="J404" i="8"/>
  <c r="J416" i="8"/>
  <c r="F459" i="8"/>
  <c r="E506" i="8"/>
  <c r="F552" i="8"/>
  <c r="J373" i="8"/>
  <c r="J385" i="8"/>
  <c r="J397" i="8"/>
  <c r="J409" i="8"/>
  <c r="J421" i="8"/>
  <c r="E447" i="8"/>
  <c r="E449" i="8"/>
  <c r="G459" i="8"/>
  <c r="E474" i="8"/>
  <c r="E489" i="8"/>
  <c r="E491" i="8"/>
  <c r="F504" i="8"/>
  <c r="F506" i="8"/>
  <c r="E521" i="8"/>
  <c r="F534" i="8"/>
  <c r="F536" i="8"/>
  <c r="G548" i="8"/>
  <c r="G552" i="8"/>
  <c r="F563" i="8"/>
  <c r="F567" i="8"/>
  <c r="G584" i="8"/>
  <c r="G593" i="8"/>
  <c r="G602" i="8"/>
  <c r="E421" i="8"/>
  <c r="E461" i="8"/>
  <c r="F573" i="8"/>
  <c r="J368" i="8"/>
  <c r="J380" i="8"/>
  <c r="J428" i="8"/>
  <c r="E440" i="8"/>
  <c r="E504" i="8"/>
  <c r="G528" i="8"/>
  <c r="E536" i="8"/>
  <c r="F548" i="8"/>
  <c r="G569" i="8"/>
  <c r="G573" i="8"/>
  <c r="F584" i="8"/>
  <c r="F593" i="8"/>
  <c r="F602" i="8"/>
  <c r="E376" i="8"/>
  <c r="E388" i="8"/>
  <c r="E400" i="8"/>
  <c r="E412" i="8"/>
  <c r="E424" i="8"/>
  <c r="G438" i="8"/>
  <c r="F447" i="8"/>
  <c r="F449" i="8"/>
  <c r="E453" i="8"/>
  <c r="E468" i="8"/>
  <c r="E470" i="8"/>
  <c r="F474" i="8"/>
  <c r="F489" i="8"/>
  <c r="F491" i="8"/>
  <c r="G504" i="8"/>
  <c r="G506" i="8"/>
  <c r="E510" i="8"/>
  <c r="E512" i="8"/>
  <c r="F519" i="8"/>
  <c r="F521" i="8"/>
  <c r="J528" i="8"/>
  <c r="G534" i="8"/>
  <c r="G536" i="8"/>
  <c r="F542" i="8"/>
  <c r="F546" i="8"/>
  <c r="G563" i="8"/>
  <c r="G567" i="8"/>
  <c r="J569" i="8"/>
  <c r="F578" i="8"/>
  <c r="F582" i="8"/>
  <c r="E459" i="8"/>
  <c r="F528" i="8"/>
  <c r="F597" i="8"/>
  <c r="G449" i="8"/>
  <c r="G489" i="8"/>
  <c r="J376" i="8"/>
  <c r="J388" i="8"/>
  <c r="J400" i="8"/>
  <c r="J412" i="8"/>
  <c r="J424" i="8"/>
  <c r="G453" i="8"/>
  <c r="E462" i="8"/>
  <c r="G468" i="8"/>
  <c r="F495" i="8"/>
  <c r="F497" i="8"/>
  <c r="G510" i="8"/>
  <c r="G512" i="8"/>
  <c r="F525" i="8"/>
  <c r="J534" i="8"/>
  <c r="G557" i="8"/>
  <c r="G561" i="8"/>
  <c r="J563" i="8"/>
  <c r="F572" i="8"/>
  <c r="F576" i="8"/>
  <c r="F587" i="8"/>
  <c r="F596" i="8"/>
  <c r="E397" i="8"/>
  <c r="E409" i="8"/>
  <c r="G474" i="8"/>
  <c r="G521" i="8"/>
  <c r="J548" i="8"/>
  <c r="J584" i="8"/>
  <c r="J602" i="8"/>
  <c r="B21" i="2"/>
  <c r="B8" i="1" s="1"/>
  <c r="E367" i="8"/>
  <c r="E379" i="8"/>
  <c r="E391" i="8"/>
  <c r="E403" i="8"/>
  <c r="E415" i="8"/>
  <c r="J447" i="8"/>
  <c r="F462" i="8"/>
  <c r="E464" i="8"/>
  <c r="E477" i="8"/>
  <c r="E479" i="8"/>
  <c r="G495" i="8"/>
  <c r="G497" i="8"/>
  <c r="E501" i="8"/>
  <c r="J519" i="8"/>
  <c r="G525" i="8"/>
  <c r="J542" i="8"/>
  <c r="F551" i="8"/>
  <c r="G572" i="8"/>
  <c r="G576" i="8"/>
  <c r="J578" i="8"/>
  <c r="G587" i="8"/>
  <c r="G596" i="8"/>
  <c r="F569" i="8"/>
  <c r="F588" i="8"/>
  <c r="G491" i="8"/>
  <c r="B48" i="3"/>
  <c r="J374" i="8"/>
  <c r="J386" i="8"/>
  <c r="J398" i="8"/>
  <c r="J410" i="8"/>
  <c r="J422" i="8"/>
  <c r="F432" i="8"/>
  <c r="F501" i="8"/>
  <c r="F531" i="8"/>
  <c r="G551" i="8"/>
  <c r="G555" i="8"/>
  <c r="J557" i="8"/>
  <c r="F566" i="8"/>
  <c r="E373" i="8"/>
  <c r="E385" i="8"/>
  <c r="J593" i="8"/>
  <c r="C48" i="3"/>
  <c r="J525" i="8"/>
  <c r="G566" i="8"/>
  <c r="G570" i="8"/>
  <c r="J572" i="8"/>
  <c r="F585" i="8"/>
  <c r="J587" i="8"/>
  <c r="F594" i="8"/>
  <c r="J596" i="8"/>
  <c r="F603" i="8"/>
  <c r="F599" i="8"/>
  <c r="D35" i="3"/>
  <c r="B6" i="2"/>
  <c r="B6" i="1"/>
  <c r="J511" i="8"/>
  <c r="G511" i="8"/>
  <c r="F511" i="8"/>
  <c r="E511" i="8"/>
  <c r="X8" i="7"/>
  <c r="L8" i="7"/>
  <c r="V8" i="7"/>
  <c r="J8" i="7"/>
  <c r="T8" i="7"/>
  <c r="H8" i="7"/>
  <c r="B17" i="1"/>
  <c r="B8" i="7"/>
  <c r="Q8" i="7"/>
  <c r="C17" i="1"/>
  <c r="B33" i="3"/>
  <c r="B34" i="3" s="1"/>
  <c r="C8" i="7"/>
  <c r="R8" i="7"/>
  <c r="D8" i="7"/>
  <c r="S8" i="7"/>
  <c r="AE8" i="7"/>
  <c r="E8" i="7"/>
  <c r="U8" i="7"/>
  <c r="C4" i="8"/>
  <c r="B56" i="2"/>
  <c r="B81" i="2"/>
  <c r="B82" i="2" s="1"/>
  <c r="B44" i="3"/>
  <c r="B4" i="5"/>
  <c r="F8" i="7"/>
  <c r="W8" i="7"/>
  <c r="A57" i="2"/>
  <c r="C44" i="3"/>
  <c r="G8" i="7"/>
  <c r="Y8" i="7"/>
  <c r="D17" i="1"/>
  <c r="B58" i="2"/>
  <c r="B24" i="3"/>
  <c r="D44" i="3"/>
  <c r="I8" i="7"/>
  <c r="Z8" i="7"/>
  <c r="J577" i="8"/>
  <c r="G577" i="8"/>
  <c r="F577" i="8"/>
  <c r="E577" i="8"/>
  <c r="D36" i="3"/>
  <c r="B55" i="2"/>
  <c r="C24" i="3"/>
  <c r="C45" i="3" s="1"/>
  <c r="K8" i="7"/>
  <c r="AA8" i="7"/>
  <c r="J541" i="8"/>
  <c r="G541" i="8"/>
  <c r="F541" i="8"/>
  <c r="E541" i="8"/>
  <c r="P8" i="7"/>
  <c r="D24" i="3"/>
  <c r="M8" i="7"/>
  <c r="AB8" i="7"/>
  <c r="N8" i="7"/>
  <c r="AC8" i="7"/>
  <c r="J366" i="8"/>
  <c r="F366" i="8"/>
  <c r="G366" i="8"/>
  <c r="E366" i="8"/>
  <c r="J496" i="8"/>
  <c r="G496" i="8"/>
  <c r="F496" i="8"/>
  <c r="E496" i="8"/>
  <c r="J526" i="8"/>
  <c r="G526" i="8"/>
  <c r="F526" i="8"/>
  <c r="E526" i="8"/>
  <c r="J556" i="8"/>
  <c r="G556" i="8"/>
  <c r="F556" i="8"/>
  <c r="E556" i="8"/>
  <c r="G364" i="8"/>
  <c r="F364" i="8"/>
  <c r="J375" i="8"/>
  <c r="G375" i="8"/>
  <c r="F375" i="8"/>
  <c r="J384" i="8"/>
  <c r="G384" i="8"/>
  <c r="F384" i="8"/>
  <c r="J393" i="8"/>
  <c r="G393" i="8"/>
  <c r="F393" i="8"/>
  <c r="J402" i="8"/>
  <c r="G402" i="8"/>
  <c r="F402" i="8"/>
  <c r="J411" i="8"/>
  <c r="G411" i="8"/>
  <c r="F411" i="8"/>
  <c r="J420" i="8"/>
  <c r="G420" i="8"/>
  <c r="F420" i="8"/>
  <c r="J429" i="8"/>
  <c r="G429" i="8"/>
  <c r="F429" i="8"/>
  <c r="J476" i="8"/>
  <c r="G476" i="8"/>
  <c r="F476" i="8"/>
  <c r="E364" i="8"/>
  <c r="E375" i="8"/>
  <c r="E384" i="8"/>
  <c r="E393" i="8"/>
  <c r="E402" i="8"/>
  <c r="E411" i="8"/>
  <c r="E420" i="8"/>
  <c r="E429" i="8"/>
  <c r="E476" i="8"/>
  <c r="J434" i="8"/>
  <c r="G434" i="8"/>
  <c r="F434" i="8"/>
  <c r="E434" i="8"/>
  <c r="J364" i="8"/>
  <c r="J485" i="8"/>
  <c r="G485" i="8"/>
  <c r="F485" i="8"/>
  <c r="J369" i="8"/>
  <c r="G369" i="8"/>
  <c r="F369" i="8"/>
  <c r="J378" i="8"/>
  <c r="G378" i="8"/>
  <c r="F378" i="8"/>
  <c r="J387" i="8"/>
  <c r="G387" i="8"/>
  <c r="F387" i="8"/>
  <c r="J396" i="8"/>
  <c r="G396" i="8"/>
  <c r="F396" i="8"/>
  <c r="J405" i="8"/>
  <c r="G405" i="8"/>
  <c r="F405" i="8"/>
  <c r="J414" i="8"/>
  <c r="G414" i="8"/>
  <c r="F414" i="8"/>
  <c r="J423" i="8"/>
  <c r="G423" i="8"/>
  <c r="F423" i="8"/>
  <c r="J458" i="8"/>
  <c r="G458" i="8"/>
  <c r="F458" i="8"/>
  <c r="E369" i="8"/>
  <c r="E378" i="8"/>
  <c r="E387" i="8"/>
  <c r="E396" i="8"/>
  <c r="E405" i="8"/>
  <c r="E414" i="8"/>
  <c r="E423" i="8"/>
  <c r="E458" i="8"/>
  <c r="J372" i="8"/>
  <c r="G372" i="8"/>
  <c r="F372" i="8"/>
  <c r="J381" i="8"/>
  <c r="G381" i="8"/>
  <c r="F381" i="8"/>
  <c r="J390" i="8"/>
  <c r="G390" i="8"/>
  <c r="F390" i="8"/>
  <c r="J399" i="8"/>
  <c r="G399" i="8"/>
  <c r="F399" i="8"/>
  <c r="J408" i="8"/>
  <c r="G408" i="8"/>
  <c r="F408" i="8"/>
  <c r="J417" i="8"/>
  <c r="G417" i="8"/>
  <c r="F417" i="8"/>
  <c r="J426" i="8"/>
  <c r="G426" i="8"/>
  <c r="F426" i="8"/>
  <c r="J467" i="8"/>
  <c r="G467" i="8"/>
  <c r="F467" i="8"/>
  <c r="E372" i="8"/>
  <c r="E381" i="8"/>
  <c r="E390" i="8"/>
  <c r="E399" i="8"/>
  <c r="E408" i="8"/>
  <c r="E417" i="8"/>
  <c r="E426" i="8"/>
  <c r="E467" i="8"/>
  <c r="G439" i="8"/>
  <c r="E439" i="8"/>
  <c r="G451" i="8"/>
  <c r="E451" i="8"/>
  <c r="J571" i="8"/>
  <c r="G571" i="8"/>
  <c r="F571" i="8"/>
  <c r="E571" i="8"/>
  <c r="J586" i="8"/>
  <c r="G586" i="8"/>
  <c r="F586" i="8"/>
  <c r="E586" i="8"/>
  <c r="J595" i="8"/>
  <c r="G595" i="8"/>
  <c r="F595" i="8"/>
  <c r="E595" i="8"/>
  <c r="J460" i="8"/>
  <c r="G460" i="8"/>
  <c r="E460" i="8"/>
  <c r="J469" i="8"/>
  <c r="G469" i="8"/>
  <c r="E469" i="8"/>
  <c r="J478" i="8"/>
  <c r="G478" i="8"/>
  <c r="E478" i="8"/>
  <c r="J487" i="8"/>
  <c r="G487" i="8"/>
  <c r="E487" i="8"/>
  <c r="J502" i="8"/>
  <c r="G502" i="8"/>
  <c r="F502" i="8"/>
  <c r="E502" i="8"/>
  <c r="J532" i="8"/>
  <c r="G532" i="8"/>
  <c r="F532" i="8"/>
  <c r="E532" i="8"/>
  <c r="J550" i="8"/>
  <c r="G550" i="8"/>
  <c r="F550" i="8"/>
  <c r="E550" i="8"/>
  <c r="E431" i="8"/>
  <c r="E441" i="8"/>
  <c r="F446" i="8"/>
  <c r="F460" i="8"/>
  <c r="F469" i="8"/>
  <c r="F478" i="8"/>
  <c r="F487" i="8"/>
  <c r="J517" i="8"/>
  <c r="G517" i="8"/>
  <c r="F517" i="8"/>
  <c r="E517" i="8"/>
  <c r="J565" i="8"/>
  <c r="G565" i="8"/>
  <c r="F565" i="8"/>
  <c r="E565" i="8"/>
  <c r="E365" i="8"/>
  <c r="E368" i="8"/>
  <c r="E371" i="8"/>
  <c r="E374" i="8"/>
  <c r="E377" i="8"/>
  <c r="E380" i="8"/>
  <c r="E383" i="8"/>
  <c r="E386" i="8"/>
  <c r="E389" i="8"/>
  <c r="E392" i="8"/>
  <c r="E395" i="8"/>
  <c r="E398" i="8"/>
  <c r="E401" i="8"/>
  <c r="E404" i="8"/>
  <c r="E407" i="8"/>
  <c r="E410" i="8"/>
  <c r="E413" i="8"/>
  <c r="E416" i="8"/>
  <c r="E419" i="8"/>
  <c r="E422" i="8"/>
  <c r="E425" i="8"/>
  <c r="E428" i="8"/>
  <c r="F431" i="8"/>
  <c r="F436" i="8"/>
  <c r="J439" i="8"/>
  <c r="F441" i="8"/>
  <c r="G446" i="8"/>
  <c r="G448" i="8"/>
  <c r="E448" i="8"/>
  <c r="J451" i="8"/>
  <c r="E455" i="8"/>
  <c r="E482" i="8"/>
  <c r="J508" i="8"/>
  <c r="G508" i="8"/>
  <c r="F508" i="8"/>
  <c r="E508" i="8"/>
  <c r="J538" i="8"/>
  <c r="G538" i="8"/>
  <c r="F538" i="8"/>
  <c r="E538" i="8"/>
  <c r="J544" i="8"/>
  <c r="G544" i="8"/>
  <c r="F544" i="8"/>
  <c r="E544" i="8"/>
  <c r="J580" i="8"/>
  <c r="G580" i="8"/>
  <c r="F580" i="8"/>
  <c r="E580" i="8"/>
  <c r="F365" i="8"/>
  <c r="F368" i="8"/>
  <c r="F371" i="8"/>
  <c r="F374" i="8"/>
  <c r="F377" i="8"/>
  <c r="F380" i="8"/>
  <c r="F383" i="8"/>
  <c r="F386" i="8"/>
  <c r="F389" i="8"/>
  <c r="F392" i="8"/>
  <c r="F395" i="8"/>
  <c r="F398" i="8"/>
  <c r="F401" i="8"/>
  <c r="F404" i="8"/>
  <c r="F407" i="8"/>
  <c r="F410" i="8"/>
  <c r="F413" i="8"/>
  <c r="F416" i="8"/>
  <c r="F419" i="8"/>
  <c r="F422" i="8"/>
  <c r="F425" i="8"/>
  <c r="F428" i="8"/>
  <c r="G431" i="8"/>
  <c r="G436" i="8"/>
  <c r="G441" i="8"/>
  <c r="E443" i="8"/>
  <c r="F448" i="8"/>
  <c r="F455" i="8"/>
  <c r="F464" i="8"/>
  <c r="F473" i="8"/>
  <c r="F482" i="8"/>
  <c r="J493" i="8"/>
  <c r="G493" i="8"/>
  <c r="F493" i="8"/>
  <c r="E493" i="8"/>
  <c r="J523" i="8"/>
  <c r="G523" i="8"/>
  <c r="F523" i="8"/>
  <c r="E523" i="8"/>
  <c r="J559" i="8"/>
  <c r="G559" i="8"/>
  <c r="F559" i="8"/>
  <c r="E559" i="8"/>
  <c r="J589" i="8"/>
  <c r="G589" i="8"/>
  <c r="F589" i="8"/>
  <c r="E589" i="8"/>
  <c r="J598" i="8"/>
  <c r="G598" i="8"/>
  <c r="F598" i="8"/>
  <c r="E598" i="8"/>
  <c r="F433" i="8"/>
  <c r="E438" i="8"/>
  <c r="F443" i="8"/>
  <c r="G455" i="8"/>
  <c r="J457" i="8"/>
  <c r="G457" i="8"/>
  <c r="E457" i="8"/>
  <c r="G464" i="8"/>
  <c r="J466" i="8"/>
  <c r="G466" i="8"/>
  <c r="E466" i="8"/>
  <c r="G473" i="8"/>
  <c r="J475" i="8"/>
  <c r="G475" i="8"/>
  <c r="E475" i="8"/>
  <c r="G482" i="8"/>
  <c r="J484" i="8"/>
  <c r="G484" i="8"/>
  <c r="E484" i="8"/>
  <c r="J574" i="8"/>
  <c r="G574" i="8"/>
  <c r="F574" i="8"/>
  <c r="E574" i="8"/>
  <c r="G433" i="8"/>
  <c r="J436" i="8"/>
  <c r="F438" i="8"/>
  <c r="G443" i="8"/>
  <c r="G445" i="8"/>
  <c r="E445" i="8"/>
  <c r="J448" i="8"/>
  <c r="F457" i="8"/>
  <c r="F466" i="8"/>
  <c r="F475" i="8"/>
  <c r="F484" i="8"/>
  <c r="J499" i="8"/>
  <c r="G499" i="8"/>
  <c r="F499" i="8"/>
  <c r="E499" i="8"/>
  <c r="J514" i="8"/>
  <c r="G514" i="8"/>
  <c r="F514" i="8"/>
  <c r="E514" i="8"/>
  <c r="J529" i="8"/>
  <c r="G529" i="8"/>
  <c r="F529" i="8"/>
  <c r="E529" i="8"/>
  <c r="J553" i="8"/>
  <c r="G553" i="8"/>
  <c r="F553" i="8"/>
  <c r="E553" i="8"/>
  <c r="J568" i="8"/>
  <c r="G568" i="8"/>
  <c r="F568" i="8"/>
  <c r="E568" i="8"/>
  <c r="F367" i="8"/>
  <c r="F370" i="8"/>
  <c r="F373" i="8"/>
  <c r="F376" i="8"/>
  <c r="F379" i="8"/>
  <c r="F382" i="8"/>
  <c r="F385" i="8"/>
  <c r="F388" i="8"/>
  <c r="F391" i="8"/>
  <c r="F394" i="8"/>
  <c r="F397" i="8"/>
  <c r="F400" i="8"/>
  <c r="F403" i="8"/>
  <c r="F406" i="8"/>
  <c r="F409" i="8"/>
  <c r="F412" i="8"/>
  <c r="F415" i="8"/>
  <c r="F418" i="8"/>
  <c r="F421" i="8"/>
  <c r="F424" i="8"/>
  <c r="F427" i="8"/>
  <c r="G430" i="8"/>
  <c r="J433" i="8"/>
  <c r="F435" i="8"/>
  <c r="F440" i="8"/>
  <c r="F452" i="8"/>
  <c r="F461" i="8"/>
  <c r="F470" i="8"/>
  <c r="F479" i="8"/>
  <c r="F488" i="8"/>
  <c r="J505" i="8"/>
  <c r="G505" i="8"/>
  <c r="F505" i="8"/>
  <c r="E505" i="8"/>
  <c r="J535" i="8"/>
  <c r="G535" i="8"/>
  <c r="F535" i="8"/>
  <c r="E535" i="8"/>
  <c r="J547" i="8"/>
  <c r="G547" i="8"/>
  <c r="F547" i="8"/>
  <c r="E547" i="8"/>
  <c r="J583" i="8"/>
  <c r="G583" i="8"/>
  <c r="F583" i="8"/>
  <c r="E583" i="8"/>
  <c r="J592" i="8"/>
  <c r="G592" i="8"/>
  <c r="F592" i="8"/>
  <c r="E592" i="8"/>
  <c r="J601" i="8"/>
  <c r="G601" i="8"/>
  <c r="F601" i="8"/>
  <c r="E601" i="8"/>
  <c r="G440" i="8"/>
  <c r="G442" i="8"/>
  <c r="E442" i="8"/>
  <c r="J445" i="8"/>
  <c r="G452" i="8"/>
  <c r="J454" i="8"/>
  <c r="G454" i="8"/>
  <c r="E454" i="8"/>
  <c r="G461" i="8"/>
  <c r="J463" i="8"/>
  <c r="G463" i="8"/>
  <c r="E463" i="8"/>
  <c r="G470" i="8"/>
  <c r="J472" i="8"/>
  <c r="G472" i="8"/>
  <c r="E472" i="8"/>
  <c r="G479" i="8"/>
  <c r="J481" i="8"/>
  <c r="G481" i="8"/>
  <c r="E481" i="8"/>
  <c r="G488" i="8"/>
  <c r="J490" i="8"/>
  <c r="G490" i="8"/>
  <c r="F490" i="8"/>
  <c r="E490" i="8"/>
  <c r="J520" i="8"/>
  <c r="G520" i="8"/>
  <c r="F520" i="8"/>
  <c r="E520" i="8"/>
  <c r="J562" i="8"/>
  <c r="G562" i="8"/>
  <c r="F562" i="8"/>
  <c r="E562" i="8"/>
  <c r="E543" i="8"/>
  <c r="E546" i="8"/>
  <c r="E549" i="8"/>
  <c r="E552" i="8"/>
  <c r="E555" i="8"/>
  <c r="E558" i="8"/>
  <c r="E561" i="8"/>
  <c r="E564" i="8"/>
  <c r="E567" i="8"/>
  <c r="E570" i="8"/>
  <c r="E573" i="8"/>
  <c r="E576" i="8"/>
  <c r="E579" i="8"/>
  <c r="E582" i="8"/>
  <c r="E585" i="8"/>
  <c r="E588" i="8"/>
  <c r="E591" i="8"/>
  <c r="E594" i="8"/>
  <c r="E597" i="8"/>
  <c r="E600" i="8"/>
  <c r="E603" i="8"/>
  <c r="G585" i="8"/>
  <c r="G588" i="8"/>
  <c r="G591" i="8"/>
  <c r="G594" i="8"/>
  <c r="G597" i="8"/>
  <c r="G600" i="8"/>
  <c r="G603" i="8"/>
  <c r="B97" i="2" l="1"/>
  <c r="B99" i="2" s="1"/>
  <c r="C37" i="3"/>
  <c r="D37" i="3"/>
  <c r="D38" i="3" s="1"/>
  <c r="B45" i="3"/>
  <c r="B8" i="2"/>
  <c r="B50" i="2"/>
  <c r="B6" i="6" s="1"/>
  <c r="B17" i="5"/>
  <c r="D47" i="3"/>
  <c r="D45" i="3"/>
  <c r="B105" i="2"/>
  <c r="B19" i="2"/>
  <c r="B35" i="3"/>
  <c r="B36" i="3"/>
  <c r="T108" i="2"/>
  <c r="H108" i="2"/>
  <c r="AE108" i="2"/>
  <c r="S108" i="2"/>
  <c r="G108" i="2"/>
  <c r="K108" i="2"/>
  <c r="AD108" i="2"/>
  <c r="R108" i="2"/>
  <c r="F108" i="2"/>
  <c r="B108" i="2"/>
  <c r="AC108" i="2"/>
  <c r="Q108" i="2"/>
  <c r="E108" i="2"/>
  <c r="AB108" i="2"/>
  <c r="P108" i="2"/>
  <c r="D108" i="2"/>
  <c r="Z108" i="2"/>
  <c r="AA108" i="2"/>
  <c r="O108" i="2"/>
  <c r="C108" i="2"/>
  <c r="N108" i="2"/>
  <c r="W108" i="2"/>
  <c r="V108" i="2"/>
  <c r="J108" i="2"/>
  <c r="Y108" i="2"/>
  <c r="M108" i="2"/>
  <c r="X108" i="2"/>
  <c r="L108" i="2"/>
  <c r="I108" i="2"/>
  <c r="U108" i="2"/>
  <c r="B13" i="5"/>
  <c r="B14" i="6" l="1"/>
  <c r="C14" i="6" s="1"/>
  <c r="D14" i="6" s="1"/>
  <c r="B19" i="6"/>
  <c r="D8" i="2"/>
  <c r="B15" i="6"/>
  <c r="C15" i="6" s="1"/>
  <c r="D15" i="6" s="1"/>
  <c r="G15" i="6" s="1"/>
  <c r="B16" i="6"/>
  <c r="C16" i="6" s="1"/>
  <c r="D16" i="6" s="1"/>
  <c r="G16" i="6" s="1"/>
  <c r="B18" i="6"/>
  <c r="C18" i="6" s="1"/>
  <c r="D18" i="6" s="1"/>
  <c r="E18" i="6" s="1"/>
  <c r="B62" i="2"/>
  <c r="B64" i="2"/>
  <c r="B71" i="2" s="1"/>
  <c r="B20" i="6"/>
  <c r="C20" i="6" s="1"/>
  <c r="D20" i="6" s="1"/>
  <c r="E20" i="6" s="1"/>
  <c r="B47" i="3"/>
  <c r="B17" i="6"/>
  <c r="C17" i="6" s="1"/>
  <c r="D17" i="6" s="1"/>
  <c r="E17" i="6" s="1"/>
  <c r="B7" i="6"/>
  <c r="B8" i="6" s="1"/>
  <c r="B9" i="6" s="1"/>
  <c r="C19" i="6"/>
  <c r="D19" i="6" s="1"/>
  <c r="E19" i="6" s="1"/>
  <c r="B11" i="5"/>
  <c r="B25" i="5" s="1"/>
  <c r="B13" i="6"/>
  <c r="C13" i="6" s="1"/>
  <c r="D13" i="6" s="1"/>
  <c r="G13" i="6" s="1"/>
  <c r="D8" i="1"/>
  <c r="G14" i="6"/>
  <c r="E14" i="6"/>
  <c r="B10" i="7"/>
  <c r="B11" i="7" s="1"/>
  <c r="C105" i="2"/>
  <c r="C6" i="1"/>
  <c r="C6" i="2"/>
  <c r="E8" i="1"/>
  <c r="G19" i="6"/>
  <c r="B38" i="3"/>
  <c r="F7" i="4" l="1"/>
  <c r="F8" i="4"/>
  <c r="C7" i="4"/>
  <c r="C9" i="4" s="1"/>
  <c r="C18" i="1" s="1"/>
  <c r="B8" i="4"/>
  <c r="B11" i="4" s="1"/>
  <c r="B20" i="1" s="1"/>
  <c r="G18" i="6"/>
  <c r="G8" i="4"/>
  <c r="B7" i="4"/>
  <c r="E8" i="4"/>
  <c r="B67" i="2"/>
  <c r="B68" i="2" s="1"/>
  <c r="B66" i="2" s="1"/>
  <c r="C22" i="3" s="1"/>
  <c r="H8" i="4"/>
  <c r="E7" i="4"/>
  <c r="G20" i="6"/>
  <c r="E15" i="6"/>
  <c r="D7" i="4"/>
  <c r="D19" i="1" s="1"/>
  <c r="D4" i="8"/>
  <c r="D8" i="4"/>
  <c r="D11" i="4" s="1"/>
  <c r="D20" i="1" s="1"/>
  <c r="C8" i="4"/>
  <c r="C11" i="4" s="1"/>
  <c r="C20" i="1" s="1"/>
  <c r="E16" i="6"/>
  <c r="H7" i="4"/>
  <c r="H19" i="1" s="1"/>
  <c r="E8" i="2"/>
  <c r="G17" i="6"/>
  <c r="G7" i="4"/>
  <c r="G10" i="4" s="1"/>
  <c r="B14" i="5"/>
  <c r="E13" i="6"/>
  <c r="D10" i="4"/>
  <c r="B22" i="3"/>
  <c r="D22" i="3"/>
  <c r="E11" i="4"/>
  <c r="E20" i="1" s="1"/>
  <c r="E10" i="4"/>
  <c r="E19" i="1"/>
  <c r="E9" i="4"/>
  <c r="E18" i="1" s="1"/>
  <c r="C19" i="1"/>
  <c r="C10" i="4"/>
  <c r="F4" i="8"/>
  <c r="B19" i="1"/>
  <c r="B10" i="4"/>
  <c r="H10" i="4"/>
  <c r="F19" i="1"/>
  <c r="F10" i="4"/>
  <c r="F11" i="4"/>
  <c r="F20" i="1" s="1"/>
  <c r="F9" i="4"/>
  <c r="F18" i="1" s="1"/>
  <c r="C8" i="1"/>
  <c r="C8" i="2"/>
  <c r="C10" i="7"/>
  <c r="C11" i="7" s="1"/>
  <c r="D105" i="2"/>
  <c r="B9" i="4" l="1"/>
  <c r="B18" i="1" s="1"/>
  <c r="E4" i="8"/>
  <c r="D9" i="4"/>
  <c r="D18" i="1" s="1"/>
  <c r="G11" i="4"/>
  <c r="G20" i="1" s="1"/>
  <c r="H9" i="4"/>
  <c r="H18" i="1" s="1"/>
  <c r="H11" i="4"/>
  <c r="H20" i="1" s="1"/>
  <c r="G9" i="4"/>
  <c r="G18" i="1" s="1"/>
  <c r="G19" i="1"/>
  <c r="G4" i="8"/>
  <c r="D53" i="3"/>
  <c r="F53" i="3"/>
  <c r="F54" i="3" s="1"/>
  <c r="F55" i="3" s="1"/>
  <c r="F56" i="3" s="1"/>
  <c r="F57" i="3" s="1"/>
  <c r="F58" i="3" s="1"/>
  <c r="F59" i="3" s="1"/>
  <c r="F60" i="3" s="1"/>
  <c r="F61" i="3" s="1"/>
  <c r="F62" i="3" s="1"/>
  <c r="E105" i="2"/>
  <c r="D10" i="7"/>
  <c r="D11" i="7" s="1"/>
  <c r="B53" i="3"/>
  <c r="E53" i="3"/>
  <c r="E54" i="3" s="1"/>
  <c r="E55" i="3" s="1"/>
  <c r="E56" i="3" s="1"/>
  <c r="E57" i="3" s="1"/>
  <c r="E58" i="3" s="1"/>
  <c r="E59" i="3" s="1"/>
  <c r="E60" i="3" s="1"/>
  <c r="E61" i="3" s="1"/>
  <c r="E62" i="3" s="1"/>
  <c r="D56" i="3" l="1"/>
  <c r="B54" i="3"/>
  <c r="B56" i="3"/>
  <c r="D57" i="3"/>
  <c r="D58" i="3"/>
  <c r="B57" i="3"/>
  <c r="D60" i="3"/>
  <c r="D62" i="3"/>
  <c r="D55" i="3"/>
  <c r="B58" i="3"/>
  <c r="D54" i="3"/>
  <c r="D59" i="3"/>
  <c r="B43" i="3"/>
  <c r="B15" i="1" s="1"/>
  <c r="D43" i="3"/>
  <c r="D15" i="1" s="1"/>
  <c r="B85" i="3"/>
  <c r="E63" i="3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10" i="7"/>
  <c r="E11" i="7" s="1"/>
  <c r="F105" i="2"/>
  <c r="B60" i="3"/>
  <c r="B55" i="3"/>
  <c r="J4" i="8"/>
  <c r="I4" i="8" s="1"/>
  <c r="D5" i="8" s="1"/>
  <c r="B62" i="3"/>
  <c r="B59" i="3"/>
  <c r="B61" i="3"/>
  <c r="D61" i="3"/>
  <c r="D85" i="3"/>
  <c r="F63" i="3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D84" i="3" l="1"/>
  <c r="B84" i="3"/>
  <c r="B14" i="1" s="1"/>
  <c r="D12" i="1"/>
  <c r="D14" i="1"/>
  <c r="D46" i="3"/>
  <c r="B39" i="3"/>
  <c r="F10" i="7"/>
  <c r="F11" i="7" s="1"/>
  <c r="G105" i="2"/>
  <c r="D39" i="3"/>
  <c r="D49" i="3"/>
  <c r="D13" i="1" s="1"/>
  <c r="E5" i="8"/>
  <c r="F5" i="8"/>
  <c r="B49" i="3" l="1"/>
  <c r="B13" i="1" s="1"/>
  <c r="B46" i="3"/>
  <c r="B12" i="1"/>
  <c r="H105" i="2"/>
  <c r="G10" i="7"/>
  <c r="G11" i="7" s="1"/>
  <c r="G5" i="8"/>
  <c r="J5" i="8" l="1"/>
  <c r="I5" i="8" s="1"/>
  <c r="D6" i="8" s="1"/>
  <c r="H10" i="7"/>
  <c r="H11" i="7" s="1"/>
  <c r="I105" i="2"/>
  <c r="J105" i="2" l="1"/>
  <c r="I10" i="7"/>
  <c r="I11" i="7" s="1"/>
  <c r="F6" i="8"/>
  <c r="E6" i="8"/>
  <c r="G6" i="8" l="1"/>
  <c r="J6" i="8" s="1"/>
  <c r="I6" i="8" s="1"/>
  <c r="D7" i="8" s="1"/>
  <c r="J10" i="7"/>
  <c r="J11" i="7" s="1"/>
  <c r="K105" i="2"/>
  <c r="F7" i="8" l="1"/>
  <c r="E7" i="8"/>
  <c r="L105" i="2"/>
  <c r="K10" i="7"/>
  <c r="K11" i="7" s="1"/>
  <c r="L10" i="7" l="1"/>
  <c r="L11" i="7" s="1"/>
  <c r="M105" i="2"/>
  <c r="G7" i="8"/>
  <c r="J7" i="8" l="1"/>
  <c r="I7" i="8"/>
  <c r="D8" i="8" s="1"/>
  <c r="N105" i="2"/>
  <c r="M10" i="7"/>
  <c r="M11" i="7" s="1"/>
  <c r="F8" i="8" l="1"/>
  <c r="E8" i="8"/>
  <c r="G8" i="8" s="1"/>
  <c r="N10" i="7"/>
  <c r="N11" i="7" s="1"/>
  <c r="O105" i="2"/>
  <c r="J8" i="8" l="1"/>
  <c r="I8" i="8"/>
  <c r="D9" i="8" s="1"/>
  <c r="O10" i="7"/>
  <c r="O11" i="7" s="1"/>
  <c r="P105" i="2"/>
  <c r="Q105" i="2" l="1"/>
  <c r="P10" i="7"/>
  <c r="P11" i="7" s="1"/>
  <c r="F9" i="8"/>
  <c r="E9" i="8"/>
  <c r="G9" i="8" l="1"/>
  <c r="J9" i="8" s="1"/>
  <c r="I9" i="8" s="1"/>
  <c r="D10" i="8" s="1"/>
  <c r="Q10" i="7"/>
  <c r="Q11" i="7" s="1"/>
  <c r="R105" i="2"/>
  <c r="R10" i="7" l="1"/>
  <c r="R11" i="7" s="1"/>
  <c r="S105" i="2"/>
  <c r="F10" i="8"/>
  <c r="E10" i="8"/>
  <c r="G10" i="8" s="1"/>
  <c r="J10" i="8" l="1"/>
  <c r="I10" i="8" s="1"/>
  <c r="D11" i="8" s="1"/>
  <c r="T105" i="2"/>
  <c r="S10" i="7"/>
  <c r="S11" i="7" s="1"/>
  <c r="E11" i="8" l="1"/>
  <c r="F11" i="8"/>
  <c r="T10" i="7"/>
  <c r="T11" i="7" s="1"/>
  <c r="U105" i="2"/>
  <c r="G11" i="8" l="1"/>
  <c r="J11" i="8" s="1"/>
  <c r="U10" i="7"/>
  <c r="U11" i="7" s="1"/>
  <c r="V105" i="2"/>
  <c r="I11" i="8" l="1"/>
  <c r="D12" i="8" s="1"/>
  <c r="F12" i="8" s="1"/>
  <c r="V10" i="7"/>
  <c r="V11" i="7" s="1"/>
  <c r="W105" i="2"/>
  <c r="E12" i="8"/>
  <c r="G12" i="8" l="1"/>
  <c r="J12" i="8" s="1"/>
  <c r="I12" i="8" s="1"/>
  <c r="D13" i="8" s="1"/>
  <c r="W10" i="7"/>
  <c r="W11" i="7" s="1"/>
  <c r="X105" i="2"/>
  <c r="F13" i="8" l="1"/>
  <c r="E13" i="8"/>
  <c r="X10" i="7"/>
  <c r="X11" i="7" s="1"/>
  <c r="Y105" i="2"/>
  <c r="G13" i="8" l="1"/>
  <c r="J13" i="8" s="1"/>
  <c r="I13" i="8" s="1"/>
  <c r="D14" i="8" s="1"/>
  <c r="Y10" i="7"/>
  <c r="Y11" i="7" s="1"/>
  <c r="Z105" i="2"/>
  <c r="F14" i="8" l="1"/>
  <c r="E14" i="8"/>
  <c r="Z10" i="7"/>
  <c r="Z11" i="7" s="1"/>
  <c r="AA105" i="2"/>
  <c r="G14" i="8" l="1"/>
  <c r="J14" i="8" s="1"/>
  <c r="I14" i="8" s="1"/>
  <c r="D15" i="8" s="1"/>
  <c r="AB105" i="2"/>
  <c r="AA10" i="7"/>
  <c r="AA11" i="7" s="1"/>
  <c r="F15" i="8" l="1"/>
  <c r="E15" i="8"/>
  <c r="AB10" i="7"/>
  <c r="AB11" i="7" s="1"/>
  <c r="AC105" i="2"/>
  <c r="G15" i="8" l="1"/>
  <c r="J15" i="8" s="1"/>
  <c r="I15" i="8" s="1"/>
  <c r="AC10" i="7"/>
  <c r="AC11" i="7" s="1"/>
  <c r="AD105" i="2"/>
  <c r="AD10" i="7" l="1"/>
  <c r="AD11" i="7" s="1"/>
  <c r="AE105" i="2"/>
  <c r="D16" i="8"/>
  <c r="B113" i="2"/>
  <c r="B12" i="7" s="1"/>
  <c r="B13" i="7" s="1"/>
  <c r="P4" i="8"/>
  <c r="F16" i="8" l="1"/>
  <c r="E16" i="8"/>
  <c r="AE10" i="7"/>
  <c r="AE11" i="7" s="1"/>
  <c r="G16" i="8" l="1"/>
  <c r="J16" i="8" s="1"/>
  <c r="I16" i="8" l="1"/>
  <c r="D17" i="8" s="1"/>
  <c r="E17" i="8" l="1"/>
  <c r="F17" i="8"/>
  <c r="G17" i="8" l="1"/>
  <c r="J17" i="8" s="1"/>
  <c r="I17" i="8" s="1"/>
  <c r="D18" i="8" s="1"/>
  <c r="F18" i="8" l="1"/>
  <c r="E18" i="8"/>
  <c r="G18" i="8" l="1"/>
  <c r="J18" i="8" l="1"/>
  <c r="I18" i="8" s="1"/>
  <c r="D19" i="8" s="1"/>
  <c r="F19" i="8" l="1"/>
  <c r="E19" i="8"/>
  <c r="G19" i="8" l="1"/>
  <c r="J19" i="8" s="1"/>
  <c r="I19" i="8" s="1"/>
  <c r="D20" i="8" s="1"/>
  <c r="F20" i="8" l="1"/>
  <c r="E20" i="8"/>
  <c r="G20" i="8" l="1"/>
  <c r="J20" i="8" l="1"/>
  <c r="I20" i="8" s="1"/>
  <c r="D21" i="8" s="1"/>
  <c r="F21" i="8" l="1"/>
  <c r="E21" i="8"/>
  <c r="G21" i="8" l="1"/>
  <c r="J21" i="8" s="1"/>
  <c r="I21" i="8" s="1"/>
  <c r="D22" i="8" s="1"/>
  <c r="F22" i="8" l="1"/>
  <c r="E22" i="8"/>
  <c r="G22" i="8" s="1"/>
  <c r="J22" i="8" l="1"/>
  <c r="I22" i="8" s="1"/>
  <c r="D23" i="8" s="1"/>
  <c r="E23" i="8" l="1"/>
  <c r="F23" i="8"/>
  <c r="G23" i="8" l="1"/>
  <c r="J23" i="8" s="1"/>
  <c r="I23" i="8" s="1"/>
  <c r="D24" i="8" s="1"/>
  <c r="F24" i="8" l="1"/>
  <c r="E24" i="8"/>
  <c r="G24" i="8" s="1"/>
  <c r="J24" i="8" l="1"/>
  <c r="I24" i="8" s="1"/>
  <c r="D25" i="8" s="1"/>
  <c r="F25" i="8" l="1"/>
  <c r="E25" i="8"/>
  <c r="G25" i="8" s="1"/>
  <c r="J25" i="8" l="1"/>
  <c r="I25" i="8" s="1"/>
  <c r="D26" i="8" s="1"/>
  <c r="F26" i="8" l="1"/>
  <c r="E26" i="8"/>
  <c r="G26" i="8" s="1"/>
  <c r="J26" i="8" l="1"/>
  <c r="I26" i="8" s="1"/>
  <c r="D27" i="8" s="1"/>
  <c r="F27" i="8" l="1"/>
  <c r="E27" i="8"/>
  <c r="G27" i="8" s="1"/>
  <c r="J27" i="8" l="1"/>
  <c r="I27" i="8"/>
  <c r="D28" i="8" l="1"/>
  <c r="P5" i="8"/>
  <c r="C113" i="2"/>
  <c r="C12" i="7" s="1"/>
  <c r="C13" i="7" s="1"/>
  <c r="F28" i="8" l="1"/>
  <c r="E28" i="8"/>
  <c r="G28" i="8" l="1"/>
  <c r="J28" i="8" l="1"/>
  <c r="I28" i="8" s="1"/>
  <c r="D29" i="8" s="1"/>
  <c r="E29" i="8" l="1"/>
  <c r="F29" i="8"/>
  <c r="G29" i="8" l="1"/>
  <c r="J29" i="8" l="1"/>
  <c r="I29" i="8" l="1"/>
  <c r="D30" i="8" s="1"/>
  <c r="F30" i="8" l="1"/>
  <c r="E30" i="8"/>
  <c r="G30" i="8" l="1"/>
  <c r="J30" i="8" l="1"/>
  <c r="I30" i="8"/>
  <c r="D31" i="8" s="1"/>
  <c r="F31" i="8" l="1"/>
  <c r="E31" i="8"/>
  <c r="G31" i="8" l="1"/>
  <c r="J31" i="8" l="1"/>
  <c r="I31" i="8" s="1"/>
  <c r="D32" i="8" s="1"/>
  <c r="F32" i="8" l="1"/>
  <c r="E32" i="8"/>
  <c r="G32" i="8" s="1"/>
  <c r="J32" i="8" l="1"/>
  <c r="I32" i="8" s="1"/>
  <c r="D33" i="8" s="1"/>
  <c r="F33" i="8" l="1"/>
  <c r="E33" i="8"/>
  <c r="G33" i="8" s="1"/>
  <c r="J33" i="8" l="1"/>
  <c r="I33" i="8" s="1"/>
  <c r="D34" i="8" s="1"/>
  <c r="F34" i="8" l="1"/>
  <c r="E34" i="8"/>
  <c r="G34" i="8" s="1"/>
  <c r="J34" i="8" l="1"/>
  <c r="I34" i="8" s="1"/>
  <c r="D35" i="8" s="1"/>
  <c r="E35" i="8" l="1"/>
  <c r="F35" i="8"/>
  <c r="G35" i="8" l="1"/>
  <c r="J35" i="8" s="1"/>
  <c r="I35" i="8" s="1"/>
  <c r="D36" i="8" s="1"/>
  <c r="F36" i="8" l="1"/>
  <c r="E36" i="8"/>
  <c r="G36" i="8" s="1"/>
  <c r="J36" i="8" l="1"/>
  <c r="I36" i="8"/>
  <c r="D37" i="8" s="1"/>
  <c r="F37" i="8" l="1"/>
  <c r="E37" i="8"/>
  <c r="G37" i="8" s="1"/>
  <c r="J37" i="8" l="1"/>
  <c r="I37" i="8" s="1"/>
  <c r="D38" i="8" s="1"/>
  <c r="F38" i="8" l="1"/>
  <c r="E38" i="8"/>
  <c r="G38" i="8" s="1"/>
  <c r="J38" i="8" l="1"/>
  <c r="I38" i="8" s="1"/>
  <c r="D39" i="8" s="1"/>
  <c r="F39" i="8" l="1"/>
  <c r="E39" i="8"/>
  <c r="G39" i="8" s="1"/>
  <c r="J39" i="8" l="1"/>
  <c r="I39" i="8" s="1"/>
  <c r="P6" i="8" l="1"/>
  <c r="D40" i="8"/>
  <c r="D113" i="2"/>
  <c r="D12" i="7" s="1"/>
  <c r="D13" i="7" s="1"/>
  <c r="F40" i="8" l="1"/>
  <c r="E40" i="8"/>
  <c r="G40" i="8" l="1"/>
  <c r="J40" i="8" l="1"/>
  <c r="I40" i="8" s="1"/>
  <c r="D41" i="8" s="1"/>
  <c r="E41" i="8" l="1"/>
  <c r="F41" i="8"/>
  <c r="G41" i="8" l="1"/>
  <c r="J41" i="8"/>
  <c r="I41" i="8" s="1"/>
  <c r="D42" i="8" s="1"/>
  <c r="F42" i="8" l="1"/>
  <c r="E42" i="8"/>
  <c r="G42" i="8" s="1"/>
  <c r="J42" i="8" l="1"/>
  <c r="I42" i="8" s="1"/>
  <c r="D43" i="8" s="1"/>
  <c r="F43" i="8" l="1"/>
  <c r="E43" i="8"/>
  <c r="G43" i="8" l="1"/>
  <c r="J43" i="8" l="1"/>
  <c r="I43" i="8"/>
  <c r="D44" i="8" s="1"/>
  <c r="F44" i="8" l="1"/>
  <c r="E44" i="8"/>
  <c r="G44" i="8" s="1"/>
  <c r="J44" i="8" l="1"/>
  <c r="I44" i="8"/>
  <c r="D45" i="8" s="1"/>
  <c r="F45" i="8" l="1"/>
  <c r="E45" i="8"/>
  <c r="G45" i="8" s="1"/>
  <c r="J45" i="8" l="1"/>
  <c r="I45" i="8" s="1"/>
  <c r="D46" i="8" s="1"/>
  <c r="F46" i="8" l="1"/>
  <c r="E46" i="8"/>
  <c r="G46" i="8" s="1"/>
  <c r="J46" i="8" l="1"/>
  <c r="I46" i="8" s="1"/>
  <c r="D47" i="8" s="1"/>
  <c r="E47" i="8" l="1"/>
  <c r="F47" i="8"/>
  <c r="G47" i="8" l="1"/>
  <c r="J47" i="8" s="1"/>
  <c r="I47" i="8" l="1"/>
  <c r="D48" i="8" s="1"/>
  <c r="F48" i="8" s="1"/>
  <c r="E48" i="8"/>
  <c r="G48" i="8" l="1"/>
  <c r="J48" i="8"/>
  <c r="I48" i="8" s="1"/>
  <c r="D49" i="8" s="1"/>
  <c r="F49" i="8" l="1"/>
  <c r="E49" i="8"/>
  <c r="G49" i="8" s="1"/>
  <c r="J49" i="8" l="1"/>
  <c r="I49" i="8" s="1"/>
  <c r="D50" i="8" s="1"/>
  <c r="F50" i="8" l="1"/>
  <c r="E50" i="8"/>
  <c r="G50" i="8" s="1"/>
  <c r="J50" i="8" l="1"/>
  <c r="I50" i="8" s="1"/>
  <c r="D51" i="8" s="1"/>
  <c r="F51" i="8" l="1"/>
  <c r="E51" i="8"/>
  <c r="G51" i="8" l="1"/>
  <c r="J51" i="8"/>
  <c r="I51" i="8" s="1"/>
  <c r="D52" i="8" l="1"/>
  <c r="E113" i="2"/>
  <c r="E12" i="7" s="1"/>
  <c r="E13" i="7" s="1"/>
  <c r="P7" i="8"/>
  <c r="F52" i="8" l="1"/>
  <c r="E52" i="8"/>
  <c r="G52" i="8" l="1"/>
  <c r="J52" i="8" l="1"/>
  <c r="I52" i="8" s="1"/>
  <c r="D53" i="8" s="1"/>
  <c r="F53" i="8" l="1"/>
  <c r="E53" i="8"/>
  <c r="G53" i="8" l="1"/>
  <c r="J53" i="8" l="1"/>
  <c r="I53" i="8" s="1"/>
  <c r="D54" i="8" s="1"/>
  <c r="E54" i="8" l="1"/>
  <c r="F54" i="8"/>
  <c r="G54" i="8" l="1"/>
  <c r="J54" i="8" s="1"/>
  <c r="I54" i="8" s="1"/>
  <c r="D55" i="8" s="1"/>
  <c r="F55" i="8" l="1"/>
  <c r="E55" i="8"/>
  <c r="G55" i="8" l="1"/>
  <c r="J55" i="8" l="1"/>
  <c r="I55" i="8" s="1"/>
  <c r="D56" i="8" s="1"/>
  <c r="F56" i="8" l="1"/>
  <c r="E56" i="8"/>
  <c r="G56" i="8" s="1"/>
  <c r="J56" i="8" l="1"/>
  <c r="I56" i="8" s="1"/>
  <c r="D57" i="8" s="1"/>
  <c r="E57" i="8" l="1"/>
  <c r="F57" i="8"/>
  <c r="G57" i="8" l="1"/>
  <c r="J57" i="8" s="1"/>
  <c r="I57" i="8" l="1"/>
  <c r="D58" i="8" s="1"/>
  <c r="F58" i="8" s="1"/>
  <c r="E58" i="8" l="1"/>
  <c r="G58" i="8" s="1"/>
  <c r="J58" i="8" s="1"/>
  <c r="I58" i="8" s="1"/>
  <c r="D59" i="8" s="1"/>
  <c r="F59" i="8" l="1"/>
  <c r="E59" i="8"/>
  <c r="G59" i="8" s="1"/>
  <c r="J59" i="8" l="1"/>
  <c r="I59" i="8" s="1"/>
  <c r="D60" i="8" s="1"/>
  <c r="E60" i="8" l="1"/>
  <c r="F60" i="8"/>
  <c r="G60" i="8" s="1"/>
  <c r="J60" i="8" l="1"/>
  <c r="I60" i="8" s="1"/>
  <c r="D61" i="8" s="1"/>
  <c r="E61" i="8" l="1"/>
  <c r="F61" i="8"/>
  <c r="G61" i="8" l="1"/>
  <c r="J61" i="8"/>
  <c r="I61" i="8" s="1"/>
  <c r="D62" i="8" s="1"/>
  <c r="F62" i="8" l="1"/>
  <c r="E62" i="8"/>
  <c r="G62" i="8" s="1"/>
  <c r="J62" i="8" l="1"/>
  <c r="I62" i="8" s="1"/>
  <c r="D63" i="8" s="1"/>
  <c r="E63" i="8" l="1"/>
  <c r="F63" i="8"/>
  <c r="G63" i="8"/>
  <c r="J63" i="8" s="1"/>
  <c r="I63" i="8" s="1"/>
  <c r="D64" i="8" l="1"/>
  <c r="P8" i="8"/>
  <c r="F113" i="2"/>
  <c r="F12" i="7" s="1"/>
  <c r="F13" i="7" s="1"/>
  <c r="E64" i="8" l="1"/>
  <c r="F64" i="8"/>
  <c r="G64" i="8" l="1"/>
  <c r="J64" i="8" l="1"/>
  <c r="I64" i="8" s="1"/>
  <c r="D65" i="8" s="1"/>
  <c r="F65" i="8" l="1"/>
  <c r="E65" i="8"/>
  <c r="G65" i="8" l="1"/>
  <c r="J65" i="8" l="1"/>
  <c r="I65" i="8" s="1"/>
  <c r="D66" i="8" s="1"/>
  <c r="E66" i="8" l="1"/>
  <c r="F66" i="8"/>
  <c r="G66" i="8" l="1"/>
  <c r="J66" i="8" l="1"/>
  <c r="I66" i="8" s="1"/>
  <c r="D67" i="8" s="1"/>
  <c r="E67" i="8" l="1"/>
  <c r="F67" i="8"/>
  <c r="G67" i="8" l="1"/>
  <c r="J67" i="8" l="1"/>
  <c r="I67" i="8"/>
  <c r="D68" i="8" s="1"/>
  <c r="E68" i="8" l="1"/>
  <c r="F68" i="8"/>
  <c r="G68" i="8" l="1"/>
  <c r="J68" i="8" l="1"/>
  <c r="I68" i="8" s="1"/>
  <c r="D69" i="8" s="1"/>
  <c r="E69" i="8" l="1"/>
  <c r="F69" i="8"/>
  <c r="G69" i="8" l="1"/>
  <c r="J69" i="8" s="1"/>
  <c r="I69" i="8" l="1"/>
  <c r="D70" i="8" s="1"/>
  <c r="E70" i="8"/>
  <c r="F70" i="8"/>
  <c r="G70" i="8" l="1"/>
  <c r="J70" i="8"/>
  <c r="I70" i="8" s="1"/>
  <c r="D71" i="8" s="1"/>
  <c r="F71" i="8" l="1"/>
  <c r="E71" i="8"/>
  <c r="G71" i="8" s="1"/>
  <c r="J71" i="8" l="1"/>
  <c r="I71" i="8"/>
  <c r="D72" i="8" s="1"/>
  <c r="E72" i="8" l="1"/>
  <c r="F72" i="8"/>
  <c r="G72" i="8" l="1"/>
  <c r="J72" i="8" s="1"/>
  <c r="I72" i="8" s="1"/>
  <c r="D73" i="8" s="1"/>
  <c r="E73" i="8" l="1"/>
  <c r="F73" i="8"/>
  <c r="G73" i="8" l="1"/>
  <c r="J73" i="8" s="1"/>
  <c r="I73" i="8" s="1"/>
  <c r="D74" i="8" s="1"/>
  <c r="F74" i="8" l="1"/>
  <c r="E74" i="8"/>
  <c r="G74" i="8" s="1"/>
  <c r="J74" i="8" l="1"/>
  <c r="I74" i="8" s="1"/>
  <c r="D75" i="8" s="1"/>
  <c r="E75" i="8" l="1"/>
  <c r="F75" i="8"/>
  <c r="G75" i="8" l="1"/>
  <c r="J75" i="8" s="1"/>
  <c r="I75" i="8" s="1"/>
  <c r="D76" i="8" l="1"/>
  <c r="P9" i="8"/>
  <c r="G113" i="2"/>
  <c r="G12" i="7" s="1"/>
  <c r="G13" i="7" s="1"/>
  <c r="E76" i="8" l="1"/>
  <c r="F76" i="8"/>
  <c r="G76" i="8" l="1"/>
  <c r="J76" i="8"/>
  <c r="I76" i="8" s="1"/>
  <c r="D77" i="8" s="1"/>
  <c r="F77" i="8" l="1"/>
  <c r="E77" i="8"/>
  <c r="G77" i="8" l="1"/>
  <c r="J77" i="8" l="1"/>
  <c r="I77" i="8" s="1"/>
  <c r="D78" i="8" s="1"/>
  <c r="E78" i="8" l="1"/>
  <c r="F78" i="8"/>
  <c r="G78" i="8" l="1"/>
  <c r="J78" i="8" s="1"/>
  <c r="I78" i="8" s="1"/>
  <c r="D79" i="8" s="1"/>
  <c r="E79" i="8" l="1"/>
  <c r="F79" i="8"/>
  <c r="G79" i="8" l="1"/>
  <c r="J79" i="8" l="1"/>
  <c r="I79" i="8" s="1"/>
  <c r="D80" i="8" s="1"/>
  <c r="F80" i="8" l="1"/>
  <c r="E80" i="8"/>
  <c r="G80" i="8" s="1"/>
  <c r="J80" i="8" l="1"/>
  <c r="I80" i="8" s="1"/>
  <c r="D81" i="8" s="1"/>
  <c r="E81" i="8" l="1"/>
  <c r="F81" i="8"/>
  <c r="G81" i="8" l="1"/>
  <c r="J81" i="8" s="1"/>
  <c r="I81" i="8" s="1"/>
  <c r="D82" i="8" s="1"/>
  <c r="F82" i="8" l="1"/>
  <c r="E82" i="8"/>
  <c r="G82" i="8" l="1"/>
  <c r="J82" i="8" s="1"/>
  <c r="I82" i="8" s="1"/>
  <c r="D83" i="8" s="1"/>
  <c r="F83" i="8" l="1"/>
  <c r="E83" i="8"/>
  <c r="G83" i="8" s="1"/>
  <c r="J83" i="8" l="1"/>
  <c r="I83" i="8" s="1"/>
  <c r="D84" i="8" s="1"/>
  <c r="E84" i="8" l="1"/>
  <c r="F84" i="8"/>
  <c r="G84" i="8" l="1"/>
  <c r="J84" i="8" s="1"/>
  <c r="I84" i="8" l="1"/>
  <c r="D85" i="8" s="1"/>
  <c r="F85" i="8" s="1"/>
  <c r="E85" i="8"/>
  <c r="G85" i="8" l="1"/>
  <c r="J85" i="8" s="1"/>
  <c r="I85" i="8" s="1"/>
  <c r="D86" i="8" s="1"/>
  <c r="F86" i="8" l="1"/>
  <c r="E86" i="8"/>
  <c r="G86" i="8" s="1"/>
  <c r="J86" i="8" l="1"/>
  <c r="I86" i="8" s="1"/>
  <c r="D87" i="8" s="1"/>
  <c r="E87" i="8" l="1"/>
  <c r="F87" i="8"/>
  <c r="G87" i="8" l="1"/>
  <c r="J87" i="8" s="1"/>
  <c r="I87" i="8" s="1"/>
  <c r="D88" i="8" l="1"/>
  <c r="P10" i="8"/>
  <c r="H113" i="2"/>
  <c r="H12" i="7" s="1"/>
  <c r="H13" i="7" s="1"/>
  <c r="F88" i="8" l="1"/>
  <c r="E88" i="8"/>
  <c r="G88" i="8" l="1"/>
  <c r="J88" i="8" l="1"/>
  <c r="I88" i="8"/>
  <c r="D89" i="8" s="1"/>
  <c r="F89" i="8" l="1"/>
  <c r="E89" i="8"/>
  <c r="G89" i="8" s="1"/>
  <c r="J89" i="8" l="1"/>
  <c r="I89" i="8" s="1"/>
  <c r="D90" i="8" s="1"/>
  <c r="E90" i="8" l="1"/>
  <c r="F90" i="8"/>
  <c r="G90" i="8" s="1"/>
  <c r="J90" i="8" l="1"/>
  <c r="I90" i="8" s="1"/>
  <c r="D91" i="8" s="1"/>
  <c r="F91" i="8" l="1"/>
  <c r="E91" i="8"/>
  <c r="G91" i="8" l="1"/>
  <c r="J91" i="8" l="1"/>
  <c r="I91" i="8" s="1"/>
  <c r="D92" i="8" s="1"/>
  <c r="F92" i="8" l="1"/>
  <c r="E92" i="8"/>
  <c r="G92" i="8" s="1"/>
  <c r="J92" i="8" l="1"/>
  <c r="I92" i="8" s="1"/>
  <c r="D93" i="8" s="1"/>
  <c r="E93" i="8" l="1"/>
  <c r="F93" i="8"/>
  <c r="G93" i="8" s="1"/>
  <c r="J93" i="8" l="1"/>
  <c r="I93" i="8" s="1"/>
  <c r="D94" i="8" s="1"/>
  <c r="F94" i="8" l="1"/>
  <c r="E94" i="8"/>
  <c r="G94" i="8" s="1"/>
  <c r="J94" i="8" l="1"/>
  <c r="I94" i="8" s="1"/>
  <c r="D95" i="8" s="1"/>
  <c r="F95" i="8" l="1"/>
  <c r="E95" i="8"/>
  <c r="G95" i="8" s="1"/>
  <c r="J95" i="8" l="1"/>
  <c r="I95" i="8" s="1"/>
  <c r="D96" i="8" s="1"/>
  <c r="E96" i="8" l="1"/>
  <c r="F96" i="8"/>
  <c r="G96" i="8" l="1"/>
  <c r="J96" i="8" s="1"/>
  <c r="I96" i="8" s="1"/>
  <c r="D97" i="8" s="1"/>
  <c r="F97" i="8" l="1"/>
  <c r="E97" i="8"/>
  <c r="G97" i="8" l="1"/>
  <c r="J97" i="8" s="1"/>
  <c r="I97" i="8" l="1"/>
  <c r="D98" i="8" s="1"/>
  <c r="F98" i="8" s="1"/>
  <c r="E98" i="8" l="1"/>
  <c r="G98" i="8"/>
  <c r="J98" i="8" s="1"/>
  <c r="I98" i="8" l="1"/>
  <c r="D99" i="8" s="1"/>
  <c r="E99" i="8" s="1"/>
  <c r="F99" i="8" l="1"/>
  <c r="G99" i="8" s="1"/>
  <c r="J99" i="8" s="1"/>
  <c r="I99" i="8" s="1"/>
  <c r="D100" i="8" l="1"/>
  <c r="P11" i="8"/>
  <c r="I113" i="2"/>
  <c r="I12" i="7" s="1"/>
  <c r="I13" i="7" s="1"/>
  <c r="F100" i="8" l="1"/>
  <c r="E100" i="8"/>
  <c r="G100" i="8" l="1"/>
  <c r="J100" i="8" l="1"/>
  <c r="I100" i="8" s="1"/>
  <c r="D101" i="8" s="1"/>
  <c r="F101" i="8" l="1"/>
  <c r="E101" i="8"/>
  <c r="G101" i="8" l="1"/>
  <c r="J101" i="8" l="1"/>
  <c r="I101" i="8" s="1"/>
  <c r="D102" i="8" s="1"/>
  <c r="E102" i="8" l="1"/>
  <c r="F102" i="8"/>
  <c r="G102" i="8" l="1"/>
  <c r="J102" i="8" s="1"/>
  <c r="I102" i="8" s="1"/>
  <c r="D103" i="8" s="1"/>
  <c r="F103" i="8" l="1"/>
  <c r="E103" i="8"/>
  <c r="G103" i="8" l="1"/>
  <c r="J103" i="8" l="1"/>
  <c r="I103" i="8" s="1"/>
  <c r="D104" i="8" s="1"/>
  <c r="F104" i="8" l="1"/>
  <c r="E104" i="8"/>
  <c r="G104" i="8" s="1"/>
  <c r="J104" i="8" l="1"/>
  <c r="I104" i="8" s="1"/>
  <c r="D105" i="8" s="1"/>
  <c r="E105" i="8" l="1"/>
  <c r="F105" i="8"/>
  <c r="G105" i="8" l="1"/>
  <c r="J105" i="8" s="1"/>
  <c r="I105" i="8" s="1"/>
  <c r="D106" i="8" s="1"/>
  <c r="F106" i="8" l="1"/>
  <c r="E106" i="8"/>
  <c r="G106" i="8" l="1"/>
  <c r="J106" i="8"/>
  <c r="I106" i="8" s="1"/>
  <c r="D107" i="8" s="1"/>
  <c r="F107" i="8" l="1"/>
  <c r="E107" i="8"/>
  <c r="G107" i="8" l="1"/>
  <c r="J107" i="8" s="1"/>
  <c r="I107" i="8" s="1"/>
  <c r="D108" i="8" s="1"/>
  <c r="E108" i="8" l="1"/>
  <c r="F108" i="8"/>
  <c r="G108" i="8" l="1"/>
  <c r="J108" i="8" s="1"/>
  <c r="I108" i="8" s="1"/>
  <c r="D109" i="8" s="1"/>
  <c r="F109" i="8" l="1"/>
  <c r="E109" i="8"/>
  <c r="G109" i="8" s="1"/>
  <c r="J109" i="8" l="1"/>
  <c r="I109" i="8"/>
  <c r="D110" i="8" s="1"/>
  <c r="F110" i="8" l="1"/>
  <c r="E110" i="8"/>
  <c r="G110" i="8" s="1"/>
  <c r="J110" i="8" l="1"/>
  <c r="I110" i="8" s="1"/>
  <c r="D111" i="8" s="1"/>
  <c r="E111" i="8" l="1"/>
  <c r="F111" i="8"/>
  <c r="G111" i="8" l="1"/>
  <c r="J111" i="8"/>
  <c r="I111" i="8" s="1"/>
  <c r="D112" i="8" l="1"/>
  <c r="P12" i="8"/>
  <c r="J113" i="2"/>
  <c r="J12" i="7" s="1"/>
  <c r="J13" i="7" s="1"/>
  <c r="F112" i="8" l="1"/>
  <c r="E112" i="8"/>
  <c r="G112" i="8" l="1"/>
  <c r="J112" i="8" l="1"/>
  <c r="I112" i="8" s="1"/>
  <c r="D113" i="8" s="1"/>
  <c r="F113" i="8" l="1"/>
  <c r="E113" i="8"/>
  <c r="G113" i="8" s="1"/>
  <c r="J113" i="8" l="1"/>
  <c r="I113" i="8" s="1"/>
  <c r="D114" i="8" s="1"/>
  <c r="E114" i="8" l="1"/>
  <c r="F114" i="8"/>
  <c r="G114" i="8" l="1"/>
  <c r="J114" i="8" s="1"/>
  <c r="I114" i="8" s="1"/>
  <c r="D115" i="8" s="1"/>
  <c r="F115" i="8" l="1"/>
  <c r="E115" i="8"/>
  <c r="G115" i="8" l="1"/>
  <c r="J115" i="8" l="1"/>
  <c r="I115" i="8"/>
  <c r="D116" i="8" s="1"/>
  <c r="F116" i="8" l="1"/>
  <c r="E116" i="8"/>
  <c r="G116" i="8" s="1"/>
  <c r="J116" i="8" l="1"/>
  <c r="I116" i="8" s="1"/>
  <c r="D117" i="8" s="1"/>
  <c r="E117" i="8" l="1"/>
  <c r="F117" i="8"/>
  <c r="G117" i="8" s="1"/>
  <c r="J117" i="8" l="1"/>
  <c r="I117" i="8" s="1"/>
  <c r="D118" i="8" s="1"/>
  <c r="F118" i="8" l="1"/>
  <c r="E118" i="8"/>
  <c r="G118" i="8" s="1"/>
  <c r="J118" i="8" l="1"/>
  <c r="I118" i="8" s="1"/>
  <c r="D119" i="8" s="1"/>
  <c r="F119" i="8" l="1"/>
  <c r="E119" i="8"/>
  <c r="G119" i="8" s="1"/>
  <c r="J119" i="8" l="1"/>
  <c r="I119" i="8" s="1"/>
  <c r="D120" i="8" s="1"/>
  <c r="E120" i="8" l="1"/>
  <c r="F120" i="8"/>
  <c r="G120" i="8" l="1"/>
  <c r="J120" i="8" s="1"/>
  <c r="I120" i="8" s="1"/>
  <c r="D121" i="8" s="1"/>
  <c r="F121" i="8" l="1"/>
  <c r="E121" i="8"/>
  <c r="G121" i="8" s="1"/>
  <c r="J121" i="8" l="1"/>
  <c r="I121" i="8" s="1"/>
  <c r="D122" i="8" s="1"/>
  <c r="F122" i="8" l="1"/>
  <c r="E122" i="8"/>
  <c r="G122" i="8" s="1"/>
  <c r="J122" i="8" l="1"/>
  <c r="I122" i="8" s="1"/>
  <c r="D123" i="8" s="1"/>
  <c r="E123" i="8" l="1"/>
  <c r="F123" i="8"/>
  <c r="G123" i="8" l="1"/>
  <c r="J123" i="8" s="1"/>
  <c r="I123" i="8" s="1"/>
  <c r="D124" i="8" l="1"/>
  <c r="K113" i="2"/>
  <c r="P13" i="8"/>
  <c r="K12" i="7" l="1"/>
  <c r="K13" i="7" s="1"/>
  <c r="C85" i="3"/>
  <c r="C39" i="3" s="1"/>
  <c r="B24" i="5"/>
  <c r="B28" i="5" s="1"/>
  <c r="B14" i="2"/>
  <c r="B12" i="5"/>
  <c r="B18" i="5" s="1"/>
  <c r="F124" i="8"/>
  <c r="E124" i="8"/>
  <c r="G124" i="8" l="1"/>
  <c r="F8" i="2"/>
  <c r="F8" i="1"/>
  <c r="J124" i="8" l="1"/>
  <c r="I124" i="8" l="1"/>
  <c r="D125" i="8" s="1"/>
  <c r="F125" i="8" l="1"/>
  <c r="E125" i="8"/>
  <c r="G125" i="8" l="1"/>
  <c r="J125" i="8" l="1"/>
  <c r="I125" i="8"/>
  <c r="D126" i="8" s="1"/>
  <c r="E126" i="8" l="1"/>
  <c r="F126" i="8"/>
  <c r="G126" i="8" l="1"/>
  <c r="J126" i="8" l="1"/>
  <c r="I126" i="8" s="1"/>
  <c r="D127" i="8" s="1"/>
  <c r="F127" i="8" l="1"/>
  <c r="E127" i="8"/>
  <c r="G127" i="8" l="1"/>
  <c r="J127" i="8" l="1"/>
  <c r="I127" i="8" s="1"/>
  <c r="D128" i="8" s="1"/>
  <c r="F128" i="8" l="1"/>
  <c r="E128" i="8"/>
  <c r="G128" i="8" s="1"/>
  <c r="J128" i="8" l="1"/>
  <c r="I128" i="8" s="1"/>
  <c r="D129" i="8" s="1"/>
  <c r="E129" i="8" l="1"/>
  <c r="F129" i="8"/>
  <c r="G129" i="8" l="1"/>
  <c r="J129" i="8" s="1"/>
  <c r="I129" i="8" s="1"/>
  <c r="D130" i="8" s="1"/>
  <c r="F130" i="8" l="1"/>
  <c r="E130" i="8"/>
  <c r="G130" i="8" s="1"/>
  <c r="J130" i="8" l="1"/>
  <c r="I130" i="8" s="1"/>
  <c r="D131" i="8" s="1"/>
  <c r="E131" i="8" l="1"/>
  <c r="F131" i="8"/>
  <c r="G131" i="8" l="1"/>
  <c r="J131" i="8" s="1"/>
  <c r="I131" i="8" s="1"/>
  <c r="D132" i="8" s="1"/>
  <c r="E132" i="8" l="1"/>
  <c r="F132" i="8"/>
  <c r="G132" i="8" l="1"/>
  <c r="J132" i="8" s="1"/>
  <c r="I132" i="8" s="1"/>
  <c r="D133" i="8" s="1"/>
  <c r="F133" i="8" l="1"/>
  <c r="E133" i="8"/>
  <c r="G133" i="8" s="1"/>
  <c r="J133" i="8" l="1"/>
  <c r="I133" i="8" s="1"/>
  <c r="D134" i="8" s="1"/>
  <c r="E134" i="8" l="1"/>
  <c r="F134" i="8"/>
  <c r="G134" i="8" l="1"/>
  <c r="J134" i="8" s="1"/>
  <c r="I134" i="8" s="1"/>
  <c r="D135" i="8" s="1"/>
  <c r="E135" i="8" l="1"/>
  <c r="F135" i="8"/>
  <c r="G135" i="8" l="1"/>
  <c r="J135" i="8" l="1"/>
  <c r="I135" i="8" s="1"/>
  <c r="D136" i="8" l="1"/>
  <c r="F136" i="8" s="1"/>
  <c r="P14" i="8"/>
  <c r="L113" i="2"/>
  <c r="L12" i="7" s="1"/>
  <c r="L13" i="7" s="1"/>
  <c r="E136" i="8"/>
  <c r="G136" i="8" l="1"/>
  <c r="J136" i="8" s="1"/>
  <c r="I136" i="8" l="1"/>
  <c r="D137" i="8" s="1"/>
  <c r="E137" i="8" l="1"/>
  <c r="F137" i="8"/>
  <c r="G137" i="8" l="1"/>
  <c r="J137" i="8"/>
  <c r="I137" i="8" s="1"/>
  <c r="D138" i="8" s="1"/>
  <c r="E138" i="8" l="1"/>
  <c r="F138" i="8"/>
  <c r="G138" i="8" l="1"/>
  <c r="J138" i="8" l="1"/>
  <c r="I138" i="8" s="1"/>
  <c r="D139" i="8" s="1"/>
  <c r="F139" i="8" l="1"/>
  <c r="E139" i="8"/>
  <c r="G139" i="8" l="1"/>
  <c r="J139" i="8" l="1"/>
  <c r="I139" i="8" s="1"/>
  <c r="D140" i="8" s="1"/>
  <c r="E140" i="8" l="1"/>
  <c r="F140" i="8"/>
  <c r="G140" i="8" l="1"/>
  <c r="J140" i="8" s="1"/>
  <c r="I140" i="8" s="1"/>
  <c r="D141" i="8" s="1"/>
  <c r="E141" i="8" l="1"/>
  <c r="F141" i="8"/>
  <c r="G141" i="8" l="1"/>
  <c r="J141" i="8" s="1"/>
  <c r="I141" i="8" s="1"/>
  <c r="D142" i="8" s="1"/>
  <c r="F142" i="8" l="1"/>
  <c r="E142" i="8"/>
  <c r="G142" i="8" s="1"/>
  <c r="J142" i="8" l="1"/>
  <c r="I142" i="8" s="1"/>
  <c r="D143" i="8" s="1"/>
  <c r="E143" i="8" l="1"/>
  <c r="F143" i="8"/>
  <c r="G143" i="8" l="1"/>
  <c r="J143" i="8" l="1"/>
  <c r="I143" i="8" s="1"/>
  <c r="D144" i="8" s="1"/>
  <c r="E144" i="8" l="1"/>
  <c r="F144" i="8"/>
  <c r="G144" i="8" l="1"/>
  <c r="J144" i="8" s="1"/>
  <c r="I144" i="8" s="1"/>
  <c r="D145" i="8" s="1"/>
  <c r="F145" i="8" s="1"/>
  <c r="E145" i="8" l="1"/>
  <c r="G145" i="8" s="1"/>
  <c r="J145" i="8" s="1"/>
  <c r="I145" i="8" l="1"/>
  <c r="D146" i="8" s="1"/>
  <c r="E146" i="8" s="1"/>
  <c r="F146" i="8" l="1"/>
  <c r="G146" i="8"/>
  <c r="J146" i="8" s="1"/>
  <c r="I146" i="8" s="1"/>
  <c r="D147" i="8" s="1"/>
  <c r="E147" i="8" l="1"/>
  <c r="F147" i="8"/>
  <c r="G147" i="8" l="1"/>
  <c r="J147" i="8"/>
  <c r="I147" i="8" s="1"/>
  <c r="P15" i="8" l="1"/>
  <c r="M113" i="2"/>
  <c r="M12" i="7" s="1"/>
  <c r="M13" i="7" s="1"/>
  <c r="D148" i="8"/>
  <c r="F148" i="8" l="1"/>
  <c r="E148" i="8"/>
  <c r="G148" i="8" l="1"/>
  <c r="J148" i="8" l="1"/>
  <c r="I148" i="8" s="1"/>
  <c r="D149" i="8" s="1"/>
  <c r="E149" i="8" l="1"/>
  <c r="F149" i="8"/>
  <c r="G149" i="8" l="1"/>
  <c r="J149" i="8" l="1"/>
  <c r="I149" i="8" s="1"/>
  <c r="D150" i="8" s="1"/>
  <c r="E150" i="8" l="1"/>
  <c r="F150" i="8"/>
  <c r="G150" i="8" l="1"/>
  <c r="J150" i="8" s="1"/>
  <c r="I150" i="8" s="1"/>
  <c r="D151" i="8" s="1"/>
  <c r="F151" i="8" l="1"/>
  <c r="E151" i="8"/>
  <c r="G151" i="8" l="1"/>
  <c r="J151" i="8" l="1"/>
  <c r="I151" i="8" s="1"/>
  <c r="D152" i="8" s="1"/>
  <c r="E152" i="8" l="1"/>
  <c r="F152" i="8"/>
  <c r="G152" i="8" l="1"/>
  <c r="J152" i="8"/>
  <c r="I152" i="8" s="1"/>
  <c r="D153" i="8" s="1"/>
  <c r="E153" i="8" l="1"/>
  <c r="F153" i="8"/>
  <c r="G153" i="8" l="1"/>
  <c r="J153" i="8" s="1"/>
  <c r="I153" i="8" s="1"/>
  <c r="D154" i="8" s="1"/>
  <c r="F154" i="8" l="1"/>
  <c r="E154" i="8"/>
  <c r="G154" i="8" s="1"/>
  <c r="J154" i="8" l="1"/>
  <c r="I154" i="8" s="1"/>
  <c r="D155" i="8" s="1"/>
  <c r="E155" i="8" l="1"/>
  <c r="F155" i="8"/>
  <c r="G155" i="8" l="1"/>
  <c r="J155" i="8" s="1"/>
  <c r="I155" i="8" s="1"/>
  <c r="D156" i="8" s="1"/>
  <c r="E156" i="8" l="1"/>
  <c r="F156" i="8"/>
  <c r="G156" i="8" l="1"/>
  <c r="J156" i="8" s="1"/>
  <c r="I156" i="8" s="1"/>
  <c r="D157" i="8" s="1"/>
  <c r="F157" i="8" l="1"/>
  <c r="E157" i="8"/>
  <c r="G157" i="8" s="1"/>
  <c r="J157" i="8" l="1"/>
  <c r="I157" i="8" s="1"/>
  <c r="D158" i="8" s="1"/>
  <c r="E158" i="8" l="1"/>
  <c r="F158" i="8"/>
  <c r="G158" i="8" s="1"/>
  <c r="J158" i="8" l="1"/>
  <c r="I158" i="8" s="1"/>
  <c r="D159" i="8" s="1"/>
  <c r="E159" i="8" l="1"/>
  <c r="F159" i="8"/>
  <c r="G159" i="8" l="1"/>
  <c r="J159" i="8" s="1"/>
  <c r="I159" i="8" s="1"/>
  <c r="D160" i="8" l="1"/>
  <c r="P16" i="8"/>
  <c r="N113" i="2"/>
  <c r="N12" i="7" s="1"/>
  <c r="N13" i="7" s="1"/>
  <c r="F160" i="8" l="1"/>
  <c r="E160" i="8"/>
  <c r="G160" i="8" l="1"/>
  <c r="J160" i="8" l="1"/>
  <c r="I160" i="8" s="1"/>
  <c r="D161" i="8" s="1"/>
  <c r="E161" i="8" l="1"/>
  <c r="F161" i="8"/>
  <c r="G161" i="8" l="1"/>
  <c r="J161" i="8" s="1"/>
  <c r="I161" i="8" l="1"/>
  <c r="D162" i="8" s="1"/>
  <c r="E162" i="8" l="1"/>
  <c r="F162" i="8"/>
  <c r="G162" i="8" l="1"/>
  <c r="J162" i="8" l="1"/>
  <c r="I162" i="8" s="1"/>
  <c r="D163" i="8" s="1"/>
  <c r="F163" i="8" l="1"/>
  <c r="E163" i="8"/>
  <c r="G163" i="8" s="1"/>
  <c r="J163" i="8" l="1"/>
  <c r="I163" i="8" s="1"/>
  <c r="D164" i="8" s="1"/>
  <c r="E164" i="8" l="1"/>
  <c r="F164" i="8"/>
  <c r="G164" i="8" l="1"/>
  <c r="J164" i="8" l="1"/>
  <c r="I164" i="8" s="1"/>
  <c r="D165" i="8" s="1"/>
  <c r="E165" i="8" l="1"/>
  <c r="F165" i="8"/>
  <c r="G165" i="8" l="1"/>
  <c r="J165" i="8" s="1"/>
  <c r="I165" i="8" s="1"/>
  <c r="D166" i="8" s="1"/>
  <c r="F166" i="8" l="1"/>
  <c r="E166" i="8"/>
  <c r="G166" i="8" s="1"/>
  <c r="J166" i="8" l="1"/>
  <c r="I166" i="8" s="1"/>
  <c r="D167" i="8" s="1"/>
  <c r="E167" i="8" l="1"/>
  <c r="F167" i="8"/>
  <c r="G167" i="8" l="1"/>
  <c r="J167" i="8" s="1"/>
  <c r="I167" i="8" s="1"/>
  <c r="D168" i="8" s="1"/>
  <c r="E168" i="8" l="1"/>
  <c r="F168" i="8"/>
  <c r="G168" i="8" l="1"/>
  <c r="J168" i="8" s="1"/>
  <c r="I168" i="8" s="1"/>
  <c r="D169" i="8" s="1"/>
  <c r="F169" i="8" l="1"/>
  <c r="E169" i="8"/>
  <c r="G169" i="8" s="1"/>
  <c r="J169" i="8" l="1"/>
  <c r="I169" i="8" s="1"/>
  <c r="D170" i="8" s="1"/>
  <c r="E170" i="8" l="1"/>
  <c r="F170" i="8"/>
  <c r="G170" i="8" l="1"/>
  <c r="J170" i="8" s="1"/>
  <c r="I170" i="8" l="1"/>
  <c r="D171" i="8" s="1"/>
  <c r="E171" i="8" s="1"/>
  <c r="F171" i="8" l="1"/>
  <c r="G171" i="8"/>
  <c r="J171" i="8" s="1"/>
  <c r="I171" i="8" l="1"/>
  <c r="D172" i="8" s="1"/>
  <c r="O113" i="2"/>
  <c r="O12" i="7" s="1"/>
  <c r="O13" i="7" s="1"/>
  <c r="P17" i="8" l="1"/>
  <c r="F172" i="8"/>
  <c r="E172" i="8"/>
  <c r="G172" i="8" s="1"/>
  <c r="J172" i="8" l="1"/>
  <c r="I172" i="8" s="1"/>
  <c r="D173" i="8" s="1"/>
  <c r="E173" i="8" l="1"/>
  <c r="F173" i="8"/>
  <c r="G173" i="8" l="1"/>
  <c r="J173" i="8" s="1"/>
  <c r="I173" i="8" s="1"/>
  <c r="D174" i="8" s="1"/>
  <c r="E174" i="8" l="1"/>
  <c r="F174" i="8"/>
  <c r="G174" i="8" l="1"/>
  <c r="J174" i="8" l="1"/>
  <c r="I174" i="8" s="1"/>
  <c r="D175" i="8" s="1"/>
  <c r="F175" i="8" l="1"/>
  <c r="E175" i="8"/>
  <c r="G175" i="8" l="1"/>
  <c r="J175" i="8" l="1"/>
  <c r="I175" i="8" s="1"/>
  <c r="D176" i="8" s="1"/>
  <c r="E176" i="8" l="1"/>
  <c r="F176" i="8"/>
  <c r="G176" i="8" l="1"/>
  <c r="J176" i="8" s="1"/>
  <c r="I176" i="8" s="1"/>
  <c r="D177" i="8" s="1"/>
  <c r="E177" i="8" l="1"/>
  <c r="F177" i="8"/>
  <c r="G177" i="8" l="1"/>
  <c r="J177" i="8" s="1"/>
  <c r="I177" i="8" l="1"/>
  <c r="D178" i="8" s="1"/>
  <c r="F178" i="8" s="1"/>
  <c r="E178" i="8" l="1"/>
  <c r="G178" i="8" s="1"/>
  <c r="J178" i="8" l="1"/>
  <c r="I178" i="8" s="1"/>
  <c r="D179" i="8" s="1"/>
  <c r="E179" i="8" s="1"/>
  <c r="F179" i="8" l="1"/>
  <c r="G179" i="8"/>
  <c r="J179" i="8" s="1"/>
  <c r="I179" i="8" s="1"/>
  <c r="D180" i="8" s="1"/>
  <c r="E180" i="8" l="1"/>
  <c r="F180" i="8"/>
  <c r="G180" i="8" l="1"/>
  <c r="J180" i="8" s="1"/>
  <c r="I180" i="8" s="1"/>
  <c r="D181" i="8" s="1"/>
  <c r="F181" i="8" l="1"/>
  <c r="E181" i="8"/>
  <c r="G181" i="8" s="1"/>
  <c r="J181" i="8" l="1"/>
  <c r="I181" i="8" s="1"/>
  <c r="D182" i="8" s="1"/>
  <c r="E182" i="8" l="1"/>
  <c r="F182" i="8"/>
  <c r="G182" i="8" l="1"/>
  <c r="J182" i="8" s="1"/>
  <c r="I182" i="8" s="1"/>
  <c r="D183" i="8" s="1"/>
  <c r="E183" i="8" l="1"/>
  <c r="F183" i="8"/>
  <c r="G183" i="8" l="1"/>
  <c r="J183" i="8" s="1"/>
  <c r="I183" i="8" l="1"/>
  <c r="D184" i="8"/>
  <c r="P18" i="8"/>
  <c r="P113" i="2"/>
  <c r="P12" i="7" s="1"/>
  <c r="P13" i="7" s="1"/>
  <c r="F184" i="8" l="1"/>
  <c r="E184" i="8"/>
  <c r="G184" i="8" l="1"/>
  <c r="J184" i="8" l="1"/>
  <c r="I184" i="8" s="1"/>
  <c r="D185" i="8" s="1"/>
  <c r="E185" i="8" l="1"/>
  <c r="F185" i="8"/>
  <c r="G185" i="8" l="1"/>
  <c r="J185" i="8"/>
  <c r="I185" i="8" l="1"/>
  <c r="D186" i="8" s="1"/>
  <c r="E186" i="8" l="1"/>
  <c r="F186" i="8"/>
  <c r="G186" i="8" l="1"/>
  <c r="J186" i="8" l="1"/>
  <c r="I186" i="8" s="1"/>
  <c r="D187" i="8" s="1"/>
  <c r="F187" i="8" l="1"/>
  <c r="E187" i="8"/>
  <c r="G187" i="8" l="1"/>
  <c r="J187" i="8" l="1"/>
  <c r="I187" i="8" s="1"/>
  <c r="D188" i="8" s="1"/>
  <c r="E188" i="8" l="1"/>
  <c r="F188" i="8"/>
  <c r="G188" i="8" l="1"/>
  <c r="J188" i="8" s="1"/>
  <c r="I188" i="8" s="1"/>
  <c r="D189" i="8" s="1"/>
  <c r="E189" i="8" l="1"/>
  <c r="F189" i="8"/>
  <c r="G189" i="8" l="1"/>
  <c r="J189" i="8"/>
  <c r="I189" i="8" s="1"/>
  <c r="D190" i="8" s="1"/>
  <c r="F190" i="8" l="1"/>
  <c r="E190" i="8"/>
  <c r="G190" i="8" s="1"/>
  <c r="J190" i="8" l="1"/>
  <c r="I190" i="8" s="1"/>
  <c r="D191" i="8" s="1"/>
  <c r="E191" i="8" l="1"/>
  <c r="F191" i="8"/>
  <c r="G191" i="8" l="1"/>
  <c r="J191" i="8" s="1"/>
  <c r="I191" i="8" s="1"/>
  <c r="D192" i="8" s="1"/>
  <c r="E192" i="8" l="1"/>
  <c r="F192" i="8"/>
  <c r="G192" i="8" l="1"/>
  <c r="J192" i="8" s="1"/>
  <c r="I192" i="8" s="1"/>
  <c r="D193" i="8" s="1"/>
  <c r="F193" i="8" l="1"/>
  <c r="E193" i="8"/>
  <c r="G193" i="8" s="1"/>
  <c r="J193" i="8" l="1"/>
  <c r="I193" i="8" s="1"/>
  <c r="D194" i="8" s="1"/>
  <c r="E194" i="8" l="1"/>
  <c r="F194" i="8"/>
  <c r="G194" i="8" s="1"/>
  <c r="J194" i="8" l="1"/>
  <c r="I194" i="8" s="1"/>
  <c r="D195" i="8" s="1"/>
  <c r="E195" i="8" l="1"/>
  <c r="F195" i="8"/>
  <c r="G195" i="8" l="1"/>
  <c r="J195" i="8" s="1"/>
  <c r="I195" i="8" s="1"/>
  <c r="D196" i="8" l="1"/>
  <c r="Q113" i="2"/>
  <c r="Q12" i="7" s="1"/>
  <c r="Q13" i="7" s="1"/>
  <c r="P19" i="8"/>
  <c r="F196" i="8" l="1"/>
  <c r="E196" i="8"/>
  <c r="G196" i="8" l="1"/>
  <c r="J196" i="8" l="1"/>
  <c r="I196" i="8" s="1"/>
  <c r="D197" i="8" s="1"/>
  <c r="E197" i="8" l="1"/>
  <c r="F197" i="8"/>
  <c r="G197" i="8" l="1"/>
  <c r="J197" i="8"/>
  <c r="I197" i="8" l="1"/>
  <c r="D198" i="8" s="1"/>
  <c r="E198" i="8" l="1"/>
  <c r="F198" i="8"/>
  <c r="G198" i="8" l="1"/>
  <c r="J198" i="8" l="1"/>
  <c r="I198" i="8" s="1"/>
  <c r="D199" i="8" s="1"/>
  <c r="F199" i="8" l="1"/>
  <c r="E199" i="8"/>
  <c r="G199" i="8" l="1"/>
  <c r="J199" i="8" s="1"/>
  <c r="I199" i="8" s="1"/>
  <c r="D200" i="8" s="1"/>
  <c r="E200" i="8" l="1"/>
  <c r="F200" i="8"/>
  <c r="G200" i="8" l="1"/>
  <c r="J200" i="8"/>
  <c r="I200" i="8" s="1"/>
  <c r="D201" i="8" s="1"/>
  <c r="F201" i="8" l="1"/>
  <c r="E201" i="8"/>
  <c r="G201" i="8" s="1"/>
  <c r="J201" i="8" l="1"/>
  <c r="I201" i="8" s="1"/>
  <c r="D202" i="8" s="1"/>
  <c r="E202" i="8" l="1"/>
  <c r="F202" i="8"/>
  <c r="G202" i="8" l="1"/>
  <c r="J202" i="8" s="1"/>
  <c r="I202" i="8" s="1"/>
  <c r="D203" i="8" s="1"/>
  <c r="E203" i="8" l="1"/>
  <c r="F203" i="8"/>
  <c r="G203" i="8" l="1"/>
  <c r="J203" i="8" s="1"/>
  <c r="I203" i="8" s="1"/>
  <c r="D204" i="8" s="1"/>
  <c r="F204" i="8" l="1"/>
  <c r="E204" i="8"/>
  <c r="G204" i="8" s="1"/>
  <c r="J204" i="8" l="1"/>
  <c r="I204" i="8" s="1"/>
  <c r="D205" i="8" s="1"/>
  <c r="E205" i="8" l="1"/>
  <c r="F205" i="8"/>
  <c r="G205" i="8" l="1"/>
  <c r="J205" i="8" s="1"/>
  <c r="I205" i="8" s="1"/>
  <c r="D206" i="8" s="1"/>
  <c r="E206" i="8" l="1"/>
  <c r="F206" i="8"/>
  <c r="G206" i="8" l="1"/>
  <c r="J206" i="8" s="1"/>
  <c r="I206" i="8" s="1"/>
  <c r="D207" i="8" s="1"/>
  <c r="F207" i="8" l="1"/>
  <c r="E207" i="8"/>
  <c r="G207" i="8" s="1"/>
  <c r="J207" i="8" l="1"/>
  <c r="I207" i="8" s="1"/>
  <c r="D208" i="8" l="1"/>
  <c r="P20" i="8"/>
  <c r="R113" i="2"/>
  <c r="R12" i="7" s="1"/>
  <c r="R13" i="7" s="1"/>
  <c r="E208" i="8" l="1"/>
  <c r="F208" i="8"/>
  <c r="G208" i="8" l="1"/>
  <c r="J208" i="8" l="1"/>
  <c r="I208" i="8"/>
  <c r="D209" i="8" s="1"/>
  <c r="E209" i="8" l="1"/>
  <c r="F209" i="8"/>
  <c r="G209" i="8" l="1"/>
  <c r="J209" i="8" l="1"/>
  <c r="I209" i="8" s="1"/>
  <c r="D210" i="8" s="1"/>
  <c r="F210" i="8" l="1"/>
  <c r="E210" i="8"/>
  <c r="G210" i="8" l="1"/>
  <c r="J210" i="8" l="1"/>
  <c r="I210" i="8" s="1"/>
  <c r="D211" i="8" s="1"/>
  <c r="E211" i="8" l="1"/>
  <c r="F211" i="8"/>
  <c r="G211" i="8" l="1"/>
  <c r="J211" i="8" l="1"/>
  <c r="I211" i="8" s="1"/>
  <c r="D212" i="8" s="1"/>
  <c r="E212" i="8" l="1"/>
  <c r="F212" i="8"/>
  <c r="G212" i="8" l="1"/>
  <c r="J212" i="8" s="1"/>
  <c r="I212" i="8" s="1"/>
  <c r="D213" i="8" s="1"/>
  <c r="F213" i="8" l="1"/>
  <c r="E213" i="8"/>
  <c r="G213" i="8" s="1"/>
  <c r="J213" i="8" l="1"/>
  <c r="I213" i="8" s="1"/>
  <c r="D214" i="8" s="1"/>
  <c r="E214" i="8" l="1"/>
  <c r="F214" i="8"/>
  <c r="G214" i="8" l="1"/>
  <c r="J214" i="8" s="1"/>
  <c r="I214" i="8" s="1"/>
  <c r="D215" i="8" s="1"/>
  <c r="E215" i="8" l="1"/>
  <c r="F215" i="8"/>
  <c r="G215" i="8" s="1"/>
  <c r="J215" i="8" l="1"/>
  <c r="I215" i="8" s="1"/>
  <c r="D216" i="8" s="1"/>
  <c r="F216" i="8" l="1"/>
  <c r="E216" i="8"/>
  <c r="G216" i="8" s="1"/>
  <c r="J216" i="8" l="1"/>
  <c r="I216" i="8" s="1"/>
  <c r="D217" i="8" s="1"/>
  <c r="E217" i="8" l="1"/>
  <c r="F217" i="8"/>
  <c r="G217" i="8" l="1"/>
  <c r="J217" i="8" s="1"/>
  <c r="I217" i="8" s="1"/>
  <c r="D218" i="8" s="1"/>
  <c r="E218" i="8" l="1"/>
  <c r="F218" i="8"/>
  <c r="G218" i="8" l="1"/>
  <c r="J218" i="8" s="1"/>
  <c r="I218" i="8" s="1"/>
  <c r="D219" i="8" s="1"/>
  <c r="F219" i="8" l="1"/>
  <c r="E219" i="8"/>
  <c r="G219" i="8" s="1"/>
  <c r="J219" i="8" l="1"/>
  <c r="I219" i="8" s="1"/>
  <c r="D220" i="8" l="1"/>
  <c r="P21" i="8"/>
  <c r="S113" i="2"/>
  <c r="S12" i="7" s="1"/>
  <c r="S13" i="7" s="1"/>
  <c r="E220" i="8" l="1"/>
  <c r="F220" i="8"/>
  <c r="G220" i="8" l="1"/>
  <c r="J220" i="8" l="1"/>
  <c r="I220" i="8" s="1"/>
  <c r="D221" i="8" s="1"/>
  <c r="E221" i="8" l="1"/>
  <c r="F221" i="8"/>
  <c r="G221" i="8" l="1"/>
  <c r="J221" i="8" l="1"/>
  <c r="I221" i="8" s="1"/>
  <c r="D222" i="8" s="1"/>
  <c r="F222" i="8" l="1"/>
  <c r="E222" i="8"/>
  <c r="G222" i="8" l="1"/>
  <c r="J222" i="8" l="1"/>
  <c r="I222" i="8" s="1"/>
  <c r="D223" i="8" s="1"/>
  <c r="F223" i="8" l="1"/>
  <c r="E223" i="8"/>
  <c r="G223" i="8" l="1"/>
  <c r="J223" i="8" l="1"/>
  <c r="I223" i="8" s="1"/>
  <c r="D224" i="8" s="1"/>
  <c r="E224" i="8" l="1"/>
  <c r="F224" i="8"/>
  <c r="G224" i="8" l="1"/>
  <c r="J224" i="8" s="1"/>
  <c r="I224" i="8" s="1"/>
  <c r="D225" i="8" s="1"/>
  <c r="F225" i="8" l="1"/>
  <c r="E225" i="8"/>
  <c r="G225" i="8" s="1"/>
  <c r="J225" i="8" l="1"/>
  <c r="I225" i="8" s="1"/>
  <c r="D226" i="8" s="1"/>
  <c r="F226" i="8" l="1"/>
  <c r="E226" i="8"/>
  <c r="G226" i="8" l="1"/>
  <c r="J226" i="8" s="1"/>
  <c r="I226" i="8" s="1"/>
  <c r="D227" i="8" s="1"/>
  <c r="E227" i="8" l="1"/>
  <c r="F227" i="8"/>
  <c r="G227" i="8" l="1"/>
  <c r="J227" i="8" s="1"/>
  <c r="I227" i="8" s="1"/>
  <c r="D228" i="8" s="1"/>
  <c r="E228" i="8" l="1"/>
  <c r="F228" i="8"/>
  <c r="G228" i="8" l="1"/>
  <c r="J228" i="8"/>
  <c r="I228" i="8" s="1"/>
  <c r="D229" i="8" s="1"/>
  <c r="F229" i="8" l="1"/>
  <c r="E229" i="8"/>
  <c r="G229" i="8" s="1"/>
  <c r="J229" i="8" s="1"/>
  <c r="I229" i="8" l="1"/>
  <c r="D230" i="8" s="1"/>
  <c r="E230" i="8" l="1"/>
  <c r="F230" i="8"/>
  <c r="G230" i="8" l="1"/>
  <c r="J230" i="8"/>
  <c r="I230" i="8" s="1"/>
  <c r="D231" i="8" s="1"/>
  <c r="F231" i="8" l="1"/>
  <c r="E231" i="8"/>
  <c r="G231" i="8" s="1"/>
  <c r="J231" i="8" l="1"/>
  <c r="I231" i="8" s="1"/>
  <c r="D232" i="8" l="1"/>
  <c r="P22" i="8"/>
  <c r="T113" i="2"/>
  <c r="T12" i="7" s="1"/>
  <c r="T13" i="7" s="1"/>
  <c r="F232" i="8" l="1"/>
  <c r="E232" i="8"/>
  <c r="G232" i="8" l="1"/>
  <c r="J232" i="8" l="1"/>
  <c r="I232" i="8" l="1"/>
  <c r="D233" i="8" s="1"/>
  <c r="F233" i="8" l="1"/>
  <c r="E233" i="8"/>
  <c r="G233" i="8" l="1"/>
  <c r="J233" i="8" l="1"/>
  <c r="I233" i="8" s="1"/>
  <c r="D234" i="8" s="1"/>
  <c r="F234" i="8" l="1"/>
  <c r="E234" i="8"/>
  <c r="G234" i="8" l="1"/>
  <c r="J234" i="8"/>
  <c r="I234" i="8" s="1"/>
  <c r="D235" i="8" s="1"/>
  <c r="F235" i="8" l="1"/>
  <c r="E235" i="8"/>
  <c r="G235" i="8" l="1"/>
  <c r="J235" i="8" l="1"/>
  <c r="I235" i="8" s="1"/>
  <c r="D236" i="8" s="1"/>
  <c r="F236" i="8" l="1"/>
  <c r="E236" i="8"/>
  <c r="G236" i="8" l="1"/>
  <c r="J236" i="8"/>
  <c r="I236" i="8" s="1"/>
  <c r="D237" i="8" s="1"/>
  <c r="F237" i="8" l="1"/>
  <c r="E237" i="8"/>
  <c r="G237" i="8" s="1"/>
  <c r="J237" i="8" l="1"/>
  <c r="I237" i="8" s="1"/>
  <c r="D238" i="8" s="1"/>
  <c r="F238" i="8" l="1"/>
  <c r="E238" i="8"/>
  <c r="G238" i="8" s="1"/>
  <c r="J238" i="8" l="1"/>
  <c r="I238" i="8" s="1"/>
  <c r="D239" i="8" s="1"/>
  <c r="F239" i="8" l="1"/>
  <c r="E239" i="8"/>
  <c r="G239" i="8" s="1"/>
  <c r="J239" i="8" l="1"/>
  <c r="I239" i="8" s="1"/>
  <c r="D240" i="8" s="1"/>
  <c r="E240" i="8" l="1"/>
  <c r="F240" i="8"/>
  <c r="G240" i="8" l="1"/>
  <c r="J240" i="8" s="1"/>
  <c r="I240" i="8" s="1"/>
  <c r="D241" i="8" s="1"/>
  <c r="E241" i="8" s="1"/>
  <c r="F241" i="8" l="1"/>
  <c r="G241" i="8"/>
  <c r="J241" i="8" s="1"/>
  <c r="I241" i="8" s="1"/>
  <c r="D242" i="8" s="1"/>
  <c r="F242" i="8" l="1"/>
  <c r="E242" i="8"/>
  <c r="G242" i="8" s="1"/>
  <c r="J242" i="8" l="1"/>
  <c r="I242" i="8" s="1"/>
  <c r="D243" i="8" s="1"/>
  <c r="F243" i="8" l="1"/>
  <c r="E243" i="8"/>
  <c r="G243" i="8" l="1"/>
  <c r="J243" i="8"/>
  <c r="I243" i="8" s="1"/>
  <c r="D244" i="8" l="1"/>
  <c r="P23" i="8"/>
  <c r="U113" i="2"/>
  <c r="U12" i="7" s="1"/>
  <c r="U13" i="7" s="1"/>
  <c r="F244" i="8" l="1"/>
  <c r="E244" i="8"/>
  <c r="G244" i="8" l="1"/>
  <c r="J244" i="8" l="1"/>
  <c r="I244" i="8" l="1"/>
  <c r="D245" i="8" s="1"/>
  <c r="F245" i="8" l="1"/>
  <c r="E245" i="8"/>
  <c r="G245" i="8" l="1"/>
  <c r="J245" i="8" l="1"/>
  <c r="I245" i="8" l="1"/>
  <c r="D246" i="8" s="1"/>
  <c r="E246" i="8" l="1"/>
  <c r="F246" i="8"/>
  <c r="G246" i="8" l="1"/>
  <c r="J246" i="8" l="1"/>
  <c r="I246" i="8" s="1"/>
  <c r="D247" i="8" s="1"/>
  <c r="F247" i="8" l="1"/>
  <c r="E247" i="8"/>
  <c r="G247" i="8" l="1"/>
  <c r="J247" i="8" l="1"/>
  <c r="I247" i="8"/>
  <c r="D248" i="8" s="1"/>
  <c r="F248" i="8" l="1"/>
  <c r="E248" i="8"/>
  <c r="G248" i="8" s="1"/>
  <c r="J248" i="8" l="1"/>
  <c r="I248" i="8" s="1"/>
  <c r="D249" i="8" s="1"/>
  <c r="E249" i="8" l="1"/>
  <c r="F249" i="8"/>
  <c r="G249" i="8" l="1"/>
  <c r="J249" i="8"/>
  <c r="I249" i="8" s="1"/>
  <c r="D250" i="8" s="1"/>
  <c r="F250" i="8" l="1"/>
  <c r="E250" i="8"/>
  <c r="G250" i="8" s="1"/>
  <c r="J250" i="8" l="1"/>
  <c r="I250" i="8" s="1"/>
  <c r="D251" i="8" s="1"/>
  <c r="F251" i="8" l="1"/>
  <c r="E251" i="8"/>
  <c r="G251" i="8" s="1"/>
  <c r="J251" i="8" l="1"/>
  <c r="I251" i="8" s="1"/>
  <c r="D252" i="8" s="1"/>
  <c r="E252" i="8" l="1"/>
  <c r="F252" i="8"/>
  <c r="G252" i="8" l="1"/>
  <c r="J252" i="8"/>
  <c r="I252" i="8" s="1"/>
  <c r="D253" i="8" s="1"/>
  <c r="F253" i="8" l="1"/>
  <c r="E253" i="8"/>
  <c r="G253" i="8" s="1"/>
  <c r="J253" i="8" l="1"/>
  <c r="I253" i="8" s="1"/>
  <c r="D254" i="8" s="1"/>
  <c r="F254" i="8" l="1"/>
  <c r="E254" i="8"/>
  <c r="G254" i="8"/>
  <c r="J254" i="8" s="1"/>
  <c r="I254" i="8" l="1"/>
  <c r="D255" i="8" s="1"/>
  <c r="E255" i="8" l="1"/>
  <c r="F255" i="8"/>
  <c r="G255" i="8" l="1"/>
  <c r="J255" i="8" s="1"/>
  <c r="I255" i="8" s="1"/>
  <c r="D256" i="8" l="1"/>
  <c r="P24" i="8"/>
  <c r="V113" i="2"/>
  <c r="V12" i="7" s="1"/>
  <c r="V13" i="7" s="1"/>
  <c r="F256" i="8" l="1"/>
  <c r="E256" i="8"/>
  <c r="G256" i="8" l="1"/>
  <c r="J256" i="8" l="1"/>
  <c r="I256" i="8"/>
  <c r="D257" i="8" s="1"/>
  <c r="F257" i="8" l="1"/>
  <c r="E257" i="8"/>
  <c r="G257" i="8" s="1"/>
  <c r="J257" i="8" l="1"/>
  <c r="I257" i="8" l="1"/>
  <c r="D258" i="8" s="1"/>
  <c r="E258" i="8" l="1"/>
  <c r="F258" i="8"/>
  <c r="G258" i="8" l="1"/>
  <c r="J258" i="8" s="1"/>
  <c r="I258" i="8" s="1"/>
  <c r="D259" i="8" s="1"/>
  <c r="F259" i="8" l="1"/>
  <c r="E259" i="8"/>
  <c r="G259" i="8" l="1"/>
  <c r="J259" i="8" l="1"/>
  <c r="I259" i="8" s="1"/>
  <c r="D260" i="8" s="1"/>
  <c r="F260" i="8" l="1"/>
  <c r="E260" i="8"/>
  <c r="G260" i="8" s="1"/>
  <c r="J260" i="8" l="1"/>
  <c r="I260" i="8" s="1"/>
  <c r="D261" i="8" s="1"/>
  <c r="E261" i="8" l="1"/>
  <c r="F261" i="8"/>
  <c r="G261" i="8" l="1"/>
  <c r="J261" i="8"/>
  <c r="I261" i="8" l="1"/>
  <c r="D262" i="8" s="1"/>
  <c r="E262" i="8" s="1"/>
  <c r="F262" i="8"/>
  <c r="G262" i="8" l="1"/>
  <c r="J262" i="8" s="1"/>
  <c r="I262" i="8" s="1"/>
  <c r="D263" i="8" s="1"/>
  <c r="F263" i="8" l="1"/>
  <c r="E263" i="8"/>
  <c r="G263" i="8" l="1"/>
  <c r="J263" i="8"/>
  <c r="I263" i="8" s="1"/>
  <c r="D264" i="8" s="1"/>
  <c r="E264" i="8" l="1"/>
  <c r="F264" i="8"/>
  <c r="G264" i="8" l="1"/>
  <c r="J264" i="8" s="1"/>
  <c r="I264" i="8" s="1"/>
  <c r="D265" i="8" s="1"/>
  <c r="F265" i="8" l="1"/>
  <c r="E265" i="8"/>
  <c r="G265" i="8" l="1"/>
  <c r="J265" i="8"/>
  <c r="I265" i="8" s="1"/>
  <c r="D266" i="8" s="1"/>
  <c r="F266" i="8" l="1"/>
  <c r="E266" i="8"/>
  <c r="G266" i="8" l="1"/>
  <c r="J266" i="8" s="1"/>
  <c r="I266" i="8" l="1"/>
  <c r="D267" i="8" s="1"/>
  <c r="E267" i="8"/>
  <c r="F267" i="8"/>
  <c r="G267" i="8" l="1"/>
  <c r="J267" i="8"/>
  <c r="I267" i="8" s="1"/>
  <c r="W113" i="2" l="1"/>
  <c r="W12" i="7" s="1"/>
  <c r="W13" i="7" s="1"/>
  <c r="P25" i="8"/>
  <c r="D268" i="8"/>
  <c r="E268" i="8" l="1"/>
  <c r="F268" i="8"/>
  <c r="G268" i="8" l="1"/>
  <c r="J268" i="8" l="1"/>
  <c r="I268" i="8" s="1"/>
  <c r="D269" i="8" s="1"/>
  <c r="F269" i="8" l="1"/>
  <c r="E269" i="8"/>
  <c r="G269" i="8" s="1"/>
  <c r="J269" i="8" s="1"/>
  <c r="I269" i="8" l="1"/>
  <c r="D270" i="8" s="1"/>
  <c r="F270" i="8" l="1"/>
  <c r="E270" i="8"/>
  <c r="G270" i="8" l="1"/>
  <c r="J270" i="8" l="1"/>
  <c r="I270" i="8" s="1"/>
  <c r="D271" i="8" s="1"/>
  <c r="E271" i="8" l="1"/>
  <c r="F271" i="8"/>
  <c r="G271" i="8" l="1"/>
  <c r="J271" i="8" s="1"/>
  <c r="I271" i="8" s="1"/>
  <c r="D272" i="8" s="1"/>
  <c r="F272" i="8" l="1"/>
  <c r="E272" i="8"/>
  <c r="G272" i="8" s="1"/>
  <c r="J272" i="8" s="1"/>
  <c r="I272" i="8" l="1"/>
  <c r="D273" i="8" s="1"/>
  <c r="F273" i="8" l="1"/>
  <c r="E273" i="8"/>
  <c r="G273" i="8" s="1"/>
  <c r="J273" i="8" l="1"/>
  <c r="I273" i="8" s="1"/>
  <c r="D274" i="8" s="1"/>
  <c r="E274" i="8" l="1"/>
  <c r="F274" i="8"/>
  <c r="G274" i="8" l="1"/>
  <c r="J274" i="8" s="1"/>
  <c r="I274" i="8" s="1"/>
  <c r="D275" i="8" s="1"/>
  <c r="F275" i="8" l="1"/>
  <c r="E275" i="8"/>
  <c r="G275" i="8"/>
  <c r="J275" i="8" l="1"/>
  <c r="I275" i="8" s="1"/>
  <c r="D276" i="8" s="1"/>
  <c r="F276" i="8" l="1"/>
  <c r="E276" i="8"/>
  <c r="G276" i="8" s="1"/>
  <c r="J276" i="8" l="1"/>
  <c r="I276" i="8" s="1"/>
  <c r="D277" i="8" s="1"/>
  <c r="F277" i="8" l="1"/>
  <c r="E277" i="8"/>
  <c r="G277" i="8" s="1"/>
  <c r="J277" i="8" l="1"/>
  <c r="I277" i="8"/>
  <c r="D278" i="8" s="1"/>
  <c r="F278" i="8" l="1"/>
  <c r="E278" i="8"/>
  <c r="G278" i="8" s="1"/>
  <c r="J278" i="8" s="1"/>
  <c r="I278" i="8" s="1"/>
  <c r="D279" i="8" s="1"/>
  <c r="F279" i="8" l="1"/>
  <c r="E279" i="8"/>
  <c r="G279" i="8" s="1"/>
  <c r="J279" i="8" l="1"/>
  <c r="I279" i="8" s="1"/>
  <c r="D280" i="8" l="1"/>
  <c r="P26" i="8"/>
  <c r="X113" i="2"/>
  <c r="X12" i="7" s="1"/>
  <c r="X13" i="7" s="1"/>
  <c r="F280" i="8" l="1"/>
  <c r="E280" i="8"/>
  <c r="G280" i="8" s="1"/>
  <c r="J280" i="8" l="1"/>
  <c r="I280" i="8"/>
  <c r="D281" i="8" s="1"/>
  <c r="F281" i="8" l="1"/>
  <c r="E281" i="8"/>
  <c r="G281" i="8" s="1"/>
  <c r="J281" i="8" l="1"/>
  <c r="I281" i="8" s="1"/>
  <c r="D282" i="8" s="1"/>
  <c r="F282" i="8" l="1"/>
  <c r="E282" i="8"/>
  <c r="G282" i="8" l="1"/>
  <c r="J282" i="8" l="1"/>
  <c r="I282" i="8" s="1"/>
  <c r="D283" i="8" s="1"/>
  <c r="F283" i="8" l="1"/>
  <c r="E283" i="8"/>
  <c r="G283" i="8" l="1"/>
  <c r="J283" i="8" l="1"/>
  <c r="I283" i="8" s="1"/>
  <c r="D284" i="8" s="1"/>
  <c r="F284" i="8" l="1"/>
  <c r="E284" i="8"/>
  <c r="G284" i="8" s="1"/>
  <c r="J284" i="8" l="1"/>
  <c r="I284" i="8" s="1"/>
  <c r="D285" i="8" s="1"/>
  <c r="F285" i="8" l="1"/>
  <c r="E285" i="8"/>
  <c r="G285" i="8" s="1"/>
  <c r="J285" i="8" l="1"/>
  <c r="I285" i="8"/>
  <c r="D286" i="8" s="1"/>
  <c r="F286" i="8" l="1"/>
  <c r="E286" i="8"/>
  <c r="G286" i="8" s="1"/>
  <c r="J286" i="8" l="1"/>
  <c r="I286" i="8" s="1"/>
  <c r="D287" i="8" s="1"/>
  <c r="F287" i="8" l="1"/>
  <c r="E287" i="8"/>
  <c r="G287" i="8" s="1"/>
  <c r="J287" i="8" l="1"/>
  <c r="I287" i="8" s="1"/>
  <c r="D288" i="8" s="1"/>
  <c r="F288" i="8" l="1"/>
  <c r="E288" i="8"/>
  <c r="G288" i="8" s="1"/>
  <c r="J288" i="8" l="1"/>
  <c r="I288" i="8" s="1"/>
  <c r="D289" i="8" s="1"/>
  <c r="F289" i="8" l="1"/>
  <c r="E289" i="8"/>
  <c r="G289" i="8" s="1"/>
  <c r="J289" i="8" l="1"/>
  <c r="I289" i="8" s="1"/>
  <c r="D290" i="8" s="1"/>
  <c r="F290" i="8" l="1"/>
  <c r="E290" i="8"/>
  <c r="G290" i="8" s="1"/>
  <c r="J290" i="8" s="1"/>
  <c r="I290" i="8" l="1"/>
  <c r="D291" i="8" s="1"/>
  <c r="F291" i="8" l="1"/>
  <c r="E291" i="8"/>
  <c r="G291" i="8" s="1"/>
  <c r="J291" i="8" l="1"/>
  <c r="I291" i="8" s="1"/>
  <c r="D292" i="8" l="1"/>
  <c r="P27" i="8"/>
  <c r="Y113" i="2"/>
  <c r="Y12" i="7" s="1"/>
  <c r="Y13" i="7" s="1"/>
  <c r="F292" i="8" l="1"/>
  <c r="E292" i="8"/>
  <c r="G292" i="8" l="1"/>
  <c r="J292" i="8" l="1"/>
  <c r="I292" i="8"/>
  <c r="D293" i="8" s="1"/>
  <c r="F293" i="8" l="1"/>
  <c r="E293" i="8"/>
  <c r="G293" i="8" l="1"/>
  <c r="J293" i="8" l="1"/>
  <c r="I293" i="8" s="1"/>
  <c r="D294" i="8" s="1"/>
  <c r="F294" i="8" l="1"/>
  <c r="E294" i="8"/>
  <c r="G294" i="8" l="1"/>
  <c r="J294" i="8" l="1"/>
  <c r="I294" i="8" s="1"/>
  <c r="D295" i="8" s="1"/>
  <c r="F295" i="8" l="1"/>
  <c r="E295" i="8"/>
  <c r="G295" i="8" s="1"/>
  <c r="J295" i="8" l="1"/>
  <c r="I295" i="8" s="1"/>
  <c r="D296" i="8" s="1"/>
  <c r="F296" i="8" l="1"/>
  <c r="E296" i="8"/>
  <c r="G296" i="8" s="1"/>
  <c r="J296" i="8" l="1"/>
  <c r="I296" i="8" s="1"/>
  <c r="D297" i="8" s="1"/>
  <c r="F297" i="8" l="1"/>
  <c r="E297" i="8"/>
  <c r="G297" i="8" s="1"/>
  <c r="J297" i="8" l="1"/>
  <c r="I297" i="8" s="1"/>
  <c r="D298" i="8" s="1"/>
  <c r="F298" i="8" l="1"/>
  <c r="E298" i="8"/>
  <c r="G298" i="8" s="1"/>
  <c r="J298" i="8" l="1"/>
  <c r="I298" i="8" s="1"/>
  <c r="D299" i="8" s="1"/>
  <c r="F299" i="8" l="1"/>
  <c r="E299" i="8"/>
  <c r="G299" i="8"/>
  <c r="J299" i="8" l="1"/>
  <c r="I299" i="8" s="1"/>
  <c r="D300" i="8" s="1"/>
  <c r="F300" i="8" l="1"/>
  <c r="E300" i="8"/>
  <c r="G300" i="8" s="1"/>
  <c r="J300" i="8" l="1"/>
  <c r="I300" i="8" s="1"/>
  <c r="D301" i="8" s="1"/>
  <c r="F301" i="8" l="1"/>
  <c r="E301" i="8"/>
  <c r="G301" i="8" s="1"/>
  <c r="J301" i="8" l="1"/>
  <c r="I301" i="8" s="1"/>
  <c r="D302" i="8" s="1"/>
  <c r="F302" i="8" l="1"/>
  <c r="E302" i="8"/>
  <c r="G302" i="8"/>
  <c r="J302" i="8" s="1"/>
  <c r="I302" i="8" l="1"/>
  <c r="D303" i="8" s="1"/>
  <c r="F303" i="8" l="1"/>
  <c r="E303" i="8"/>
  <c r="G303" i="8" s="1"/>
  <c r="J303" i="8" l="1"/>
  <c r="I303" i="8" s="1"/>
  <c r="D304" i="8" l="1"/>
  <c r="P28" i="8"/>
  <c r="Z113" i="2"/>
  <c r="Z12" i="7" s="1"/>
  <c r="Z13" i="7" s="1"/>
  <c r="F304" i="8" l="1"/>
  <c r="E304" i="8"/>
  <c r="G304" i="8" l="1"/>
  <c r="J304" i="8" l="1"/>
  <c r="I304" i="8" s="1"/>
  <c r="D305" i="8" s="1"/>
  <c r="F305" i="8" l="1"/>
  <c r="E305" i="8"/>
  <c r="G305" i="8" s="1"/>
  <c r="J305" i="8" l="1"/>
  <c r="I305" i="8" s="1"/>
  <c r="D306" i="8" s="1"/>
  <c r="F306" i="8" l="1"/>
  <c r="E306" i="8"/>
  <c r="G306" i="8" l="1"/>
  <c r="J306" i="8" l="1"/>
  <c r="I306" i="8" s="1"/>
  <c r="D307" i="8" s="1"/>
  <c r="F307" i="8" l="1"/>
  <c r="E307" i="8"/>
  <c r="G307" i="8" l="1"/>
  <c r="J307" i="8" l="1"/>
  <c r="I307" i="8" s="1"/>
  <c r="D308" i="8" s="1"/>
  <c r="F308" i="8" l="1"/>
  <c r="E308" i="8"/>
  <c r="G308" i="8" l="1"/>
  <c r="J308" i="8" s="1"/>
  <c r="I308" i="8" l="1"/>
  <c r="D309" i="8" s="1"/>
  <c r="F309" i="8"/>
  <c r="E309" i="8"/>
  <c r="G309" i="8" l="1"/>
  <c r="J309" i="8"/>
  <c r="I309" i="8"/>
  <c r="D310" i="8" s="1"/>
  <c r="F310" i="8" l="1"/>
  <c r="E310" i="8"/>
  <c r="G310" i="8" s="1"/>
  <c r="J310" i="8" l="1"/>
  <c r="I310" i="8" s="1"/>
  <c r="D311" i="8" s="1"/>
  <c r="F311" i="8" l="1"/>
  <c r="E311" i="8"/>
  <c r="G311" i="8" s="1"/>
  <c r="J311" i="8" l="1"/>
  <c r="I311" i="8" s="1"/>
  <c r="D312" i="8" s="1"/>
  <c r="F312" i="8" l="1"/>
  <c r="E312" i="8"/>
  <c r="G312" i="8" s="1"/>
  <c r="J312" i="8" l="1"/>
  <c r="I312" i="8"/>
  <c r="D313" i="8" s="1"/>
  <c r="F313" i="8" l="1"/>
  <c r="E313" i="8"/>
  <c r="G313" i="8" s="1"/>
  <c r="J313" i="8" l="1"/>
  <c r="I313" i="8"/>
  <c r="D314" i="8" s="1"/>
  <c r="F314" i="8" l="1"/>
  <c r="E314" i="8"/>
  <c r="G314" i="8" s="1"/>
  <c r="J314" i="8" l="1"/>
  <c r="I314" i="8" s="1"/>
  <c r="D315" i="8" s="1"/>
  <c r="F315" i="8" l="1"/>
  <c r="E315" i="8"/>
  <c r="G315" i="8" s="1"/>
  <c r="J315" i="8" l="1"/>
  <c r="I315" i="8" s="1"/>
  <c r="D316" i="8" l="1"/>
  <c r="P29" i="8"/>
  <c r="AA113" i="2"/>
  <c r="AA12" i="7" s="1"/>
  <c r="AA13" i="7" s="1"/>
  <c r="F316" i="8" l="1"/>
  <c r="E316" i="8"/>
  <c r="G316" i="8" l="1"/>
  <c r="J316" i="8" l="1"/>
  <c r="I316" i="8" s="1"/>
  <c r="D317" i="8" s="1"/>
  <c r="F317" i="8" l="1"/>
  <c r="E317" i="8"/>
  <c r="G317" i="8" s="1"/>
  <c r="J317" i="8" l="1"/>
  <c r="I317" i="8" s="1"/>
  <c r="D318" i="8" s="1"/>
  <c r="F318" i="8" l="1"/>
  <c r="E318" i="8"/>
  <c r="G318" i="8" l="1"/>
  <c r="J318" i="8" l="1"/>
  <c r="I318" i="8" s="1"/>
  <c r="D319" i="8" s="1"/>
  <c r="F319" i="8" l="1"/>
  <c r="E319" i="8"/>
  <c r="G319" i="8" s="1"/>
  <c r="J319" i="8" l="1"/>
  <c r="I319" i="8" s="1"/>
  <c r="D320" i="8" s="1"/>
  <c r="E320" i="8" l="1"/>
  <c r="F320" i="8"/>
  <c r="G320" i="8" l="1"/>
  <c r="J320" i="8"/>
  <c r="I320" i="8" s="1"/>
  <c r="D321" i="8" s="1"/>
  <c r="F321" i="8" l="1"/>
  <c r="E321" i="8"/>
  <c r="G321" i="8" l="1"/>
  <c r="J321" i="8" s="1"/>
  <c r="I321" i="8" s="1"/>
  <c r="D322" i="8" s="1"/>
  <c r="E322" i="8" l="1"/>
  <c r="F322" i="8"/>
  <c r="G322" i="8" l="1"/>
  <c r="J322" i="8" s="1"/>
  <c r="I322" i="8" s="1"/>
  <c r="D323" i="8" s="1"/>
  <c r="E323" i="8" l="1"/>
  <c r="F323" i="8"/>
  <c r="G323" i="8" s="1"/>
  <c r="J323" i="8" l="1"/>
  <c r="I323" i="8" s="1"/>
  <c r="D324" i="8" s="1"/>
  <c r="F324" i="8" l="1"/>
  <c r="E324" i="8"/>
  <c r="G324" i="8" s="1"/>
  <c r="J324" i="8" l="1"/>
  <c r="I324" i="8" s="1"/>
  <c r="D325" i="8" s="1"/>
  <c r="F325" i="8" l="1"/>
  <c r="E325" i="8"/>
  <c r="G325" i="8" s="1"/>
  <c r="J325" i="8" l="1"/>
  <c r="I325" i="8" s="1"/>
  <c r="D326" i="8" s="1"/>
  <c r="E326" i="8" l="1"/>
  <c r="F326" i="8"/>
  <c r="G326" i="8" l="1"/>
  <c r="J326" i="8" s="1"/>
  <c r="I326" i="8"/>
  <c r="D327" i="8" s="1"/>
  <c r="F327" i="8" l="1"/>
  <c r="E327" i="8"/>
  <c r="G327" i="8" s="1"/>
  <c r="J327" i="8" l="1"/>
  <c r="I327" i="8"/>
  <c r="D328" i="8" l="1"/>
  <c r="P30" i="8"/>
  <c r="AB113" i="2"/>
  <c r="AB12" i="7" s="1"/>
  <c r="AB13" i="7" s="1"/>
  <c r="F328" i="8" l="1"/>
  <c r="E328" i="8"/>
  <c r="G328" i="8" l="1"/>
  <c r="J328" i="8" l="1"/>
  <c r="I328" i="8" s="1"/>
  <c r="D329" i="8" s="1"/>
  <c r="E329" i="8" l="1"/>
  <c r="F329" i="8"/>
  <c r="G329" i="8" s="1"/>
  <c r="J329" i="8" l="1"/>
  <c r="I329" i="8" s="1"/>
  <c r="D330" i="8" s="1"/>
  <c r="F330" i="8" l="1"/>
  <c r="E330" i="8"/>
  <c r="G330" i="8" l="1"/>
  <c r="J330" i="8" l="1"/>
  <c r="I330" i="8" s="1"/>
  <c r="D331" i="8" s="1"/>
  <c r="F331" i="8" l="1"/>
  <c r="E331" i="8"/>
  <c r="G331" i="8" l="1"/>
  <c r="J331" i="8" l="1"/>
  <c r="I331" i="8" s="1"/>
  <c r="D332" i="8" s="1"/>
  <c r="E332" i="8" l="1"/>
  <c r="F332" i="8"/>
  <c r="G332" i="8" l="1"/>
  <c r="J332" i="8" s="1"/>
  <c r="I332" i="8" s="1"/>
  <c r="D333" i="8" s="1"/>
  <c r="F333" i="8" s="1"/>
  <c r="E333" i="8" l="1"/>
  <c r="G333" i="8" s="1"/>
  <c r="J333" i="8" s="1"/>
  <c r="I333" i="8" s="1"/>
  <c r="D334" i="8" s="1"/>
  <c r="F334" i="8" l="1"/>
  <c r="E334" i="8"/>
  <c r="G334" i="8" s="1"/>
  <c r="J334" i="8" l="1"/>
  <c r="I334" i="8" s="1"/>
  <c r="D335" i="8" s="1"/>
  <c r="E335" i="8" l="1"/>
  <c r="F335" i="8"/>
  <c r="G335" i="8" l="1"/>
  <c r="J335" i="8"/>
  <c r="I335" i="8" s="1"/>
  <c r="D336" i="8" s="1"/>
  <c r="F336" i="8" l="1"/>
  <c r="E336" i="8"/>
  <c r="G336" i="8" s="1"/>
  <c r="J336" i="8" l="1"/>
  <c r="I336" i="8" s="1"/>
  <c r="D337" i="8" s="1"/>
  <c r="F337" i="8" l="1"/>
  <c r="E337" i="8"/>
  <c r="G337" i="8" l="1"/>
  <c r="J337" i="8"/>
  <c r="I337" i="8" s="1"/>
  <c r="D338" i="8" s="1"/>
  <c r="E338" i="8" l="1"/>
  <c r="F338" i="8"/>
  <c r="G338" i="8" l="1"/>
  <c r="J338" i="8"/>
  <c r="I338" i="8" s="1"/>
  <c r="D339" i="8" s="1"/>
  <c r="F339" i="8" l="1"/>
  <c r="E339" i="8"/>
  <c r="G339" i="8" s="1"/>
  <c r="J339" i="8" l="1"/>
  <c r="I339" i="8"/>
  <c r="D340" i="8" l="1"/>
  <c r="AC113" i="2"/>
  <c r="AC12" i="7" s="1"/>
  <c r="AC13" i="7" s="1"/>
  <c r="P31" i="8"/>
  <c r="F340" i="8" l="1"/>
  <c r="E340" i="8"/>
  <c r="G340" i="8" l="1"/>
  <c r="J340" i="8" l="1"/>
  <c r="I340" i="8" s="1"/>
  <c r="D341" i="8" s="1"/>
  <c r="E341" i="8" l="1"/>
  <c r="F341" i="8"/>
  <c r="G341" i="8" l="1"/>
  <c r="J341" i="8" l="1"/>
  <c r="I341" i="8" s="1"/>
  <c r="D342" i="8" s="1"/>
  <c r="F342" i="8" l="1"/>
  <c r="E342" i="8"/>
  <c r="G342" i="8" l="1"/>
  <c r="J342" i="8" l="1"/>
  <c r="I342" i="8"/>
  <c r="D343" i="8" s="1"/>
  <c r="F343" i="8" l="1"/>
  <c r="E343" i="8"/>
  <c r="G343" i="8" l="1"/>
  <c r="J343" i="8" l="1"/>
  <c r="I343" i="8" s="1"/>
  <c r="D344" i="8" s="1"/>
  <c r="E344" i="8" l="1"/>
  <c r="F344" i="8"/>
  <c r="G344" i="8" l="1"/>
  <c r="J344" i="8"/>
  <c r="I344" i="8" s="1"/>
  <c r="D345" i="8" s="1"/>
  <c r="F345" i="8" l="1"/>
  <c r="E345" i="8"/>
  <c r="G345" i="8" s="1"/>
  <c r="J345" i="8" l="1"/>
  <c r="I345" i="8" s="1"/>
  <c r="D346" i="8" s="1"/>
  <c r="F346" i="8" l="1"/>
  <c r="E346" i="8"/>
  <c r="G346" i="8" s="1"/>
  <c r="J346" i="8" l="1"/>
  <c r="I346" i="8" s="1"/>
  <c r="D347" i="8" s="1"/>
  <c r="E347" i="8" l="1"/>
  <c r="F347" i="8"/>
  <c r="G347" i="8" s="1"/>
  <c r="J347" i="8" l="1"/>
  <c r="I347" i="8" s="1"/>
  <c r="D348" i="8" s="1"/>
  <c r="E348" i="8" l="1"/>
  <c r="F348" i="8"/>
  <c r="G348" i="8" l="1"/>
  <c r="J348" i="8" s="1"/>
  <c r="I348" i="8" s="1"/>
  <c r="D349" i="8" s="1"/>
  <c r="F349" i="8" l="1"/>
  <c r="E349" i="8"/>
  <c r="G349" i="8" s="1"/>
  <c r="J349" i="8" l="1"/>
  <c r="I349" i="8" s="1"/>
  <c r="D350" i="8" s="1"/>
  <c r="E350" i="8" l="1"/>
  <c r="F350" i="8"/>
  <c r="G350" i="8" l="1"/>
  <c r="J350" i="8" s="1"/>
  <c r="I350" i="8" s="1"/>
  <c r="D351" i="8" s="1"/>
  <c r="F351" i="8" l="1"/>
  <c r="E351" i="8"/>
  <c r="G351" i="8" s="1"/>
  <c r="J351" i="8" l="1"/>
  <c r="I351" i="8" s="1"/>
  <c r="D352" i="8" l="1"/>
  <c r="P32" i="8"/>
  <c r="AD113" i="2"/>
  <c r="AD12" i="7" s="1"/>
  <c r="AD13" i="7" s="1"/>
  <c r="F352" i="8" l="1"/>
  <c r="E352" i="8"/>
  <c r="G352" i="8" l="1"/>
  <c r="J352" i="8" l="1"/>
  <c r="I352" i="8"/>
  <c r="D353" i="8" s="1"/>
  <c r="E353" i="8" l="1"/>
  <c r="F353" i="8"/>
  <c r="G353" i="8" l="1"/>
  <c r="J353" i="8" l="1"/>
  <c r="I353" i="8" s="1"/>
  <c r="D354" i="8" s="1"/>
  <c r="F354" i="8" l="1"/>
  <c r="E354" i="8"/>
  <c r="G354" i="8" l="1"/>
  <c r="J354" i="8" l="1"/>
  <c r="I354" i="8" s="1"/>
  <c r="D355" i="8" s="1"/>
  <c r="F355" i="8" l="1"/>
  <c r="E355" i="8"/>
  <c r="G355" i="8" l="1"/>
  <c r="J355" i="8" l="1"/>
  <c r="I355" i="8" s="1"/>
  <c r="D356" i="8" s="1"/>
  <c r="F356" i="8" l="1"/>
  <c r="E356" i="8"/>
  <c r="G356" i="8" s="1"/>
  <c r="J356" i="8" l="1"/>
  <c r="I356" i="8" s="1"/>
  <c r="D357" i="8" s="1"/>
  <c r="E357" i="8" l="1"/>
  <c r="F357" i="8"/>
  <c r="G357" i="8" l="1"/>
  <c r="J357" i="8" s="1"/>
  <c r="I357" i="8" s="1"/>
  <c r="D358" i="8" s="1"/>
  <c r="F358" i="8" l="1"/>
  <c r="E358" i="8"/>
  <c r="G358" i="8" s="1"/>
  <c r="J358" i="8" l="1"/>
  <c r="I358" i="8" s="1"/>
  <c r="D359" i="8" s="1"/>
  <c r="F359" i="8" l="1"/>
  <c r="E359" i="8"/>
  <c r="G359" i="8" s="1"/>
  <c r="J359" i="8" l="1"/>
  <c r="I359" i="8"/>
  <c r="D360" i="8" s="1"/>
  <c r="F360" i="8" l="1"/>
  <c r="E360" i="8"/>
  <c r="G360" i="8" l="1"/>
  <c r="J360" i="8" s="1"/>
  <c r="I360" i="8" s="1"/>
  <c r="D361" i="8" s="1"/>
  <c r="F361" i="8" l="1"/>
  <c r="E361" i="8"/>
  <c r="G361" i="8" l="1"/>
  <c r="J361" i="8" s="1"/>
  <c r="I361" i="8" s="1"/>
  <c r="D362" i="8" s="1"/>
  <c r="F362" i="8" l="1"/>
  <c r="E362" i="8"/>
  <c r="G362" i="8" s="1"/>
  <c r="J362" i="8" l="1"/>
  <c r="I362" i="8" s="1"/>
  <c r="D363" i="8" s="1"/>
  <c r="F363" i="8" l="1"/>
  <c r="E363" i="8"/>
  <c r="B107" i="2" l="1"/>
  <c r="L4" i="8"/>
  <c r="L5" i="8"/>
  <c r="C107" i="2"/>
  <c r="C109" i="2" s="1"/>
  <c r="C110" i="2" s="1"/>
  <c r="L6" i="8"/>
  <c r="D107" i="2"/>
  <c r="D109" i="2" s="1"/>
  <c r="D110" i="2" s="1"/>
  <c r="L7" i="8"/>
  <c r="E107" i="2"/>
  <c r="E109" i="2" s="1"/>
  <c r="E110" i="2" s="1"/>
  <c r="F107" i="2"/>
  <c r="F109" i="2" s="1"/>
  <c r="F110" i="2" s="1"/>
  <c r="L8" i="8"/>
  <c r="L9" i="8"/>
  <c r="G107" i="2"/>
  <c r="G109" i="2" s="1"/>
  <c r="G110" i="2" s="1"/>
  <c r="L10" i="8"/>
  <c r="H107" i="2"/>
  <c r="H109" i="2" s="1"/>
  <c r="H110" i="2" s="1"/>
  <c r="I107" i="2"/>
  <c r="I109" i="2" s="1"/>
  <c r="I110" i="2" s="1"/>
  <c r="L11" i="8"/>
  <c r="L12" i="8"/>
  <c r="J107" i="2"/>
  <c r="J109" i="2" s="1"/>
  <c r="J110" i="2" s="1"/>
  <c r="K107" i="2"/>
  <c r="K109" i="2" s="1"/>
  <c r="K110" i="2" s="1"/>
  <c r="L13" i="8"/>
  <c r="L107" i="2"/>
  <c r="L109" i="2" s="1"/>
  <c r="L110" i="2" s="1"/>
  <c r="L14" i="8"/>
  <c r="M107" i="2"/>
  <c r="M109" i="2" s="1"/>
  <c r="M110" i="2" s="1"/>
  <c r="L15" i="8"/>
  <c r="L16" i="8"/>
  <c r="N107" i="2"/>
  <c r="N109" i="2" s="1"/>
  <c r="N110" i="2" s="1"/>
  <c r="L17" i="8"/>
  <c r="O107" i="2"/>
  <c r="O109" i="2" s="1"/>
  <c r="O110" i="2" s="1"/>
  <c r="L18" i="8"/>
  <c r="P107" i="2"/>
  <c r="P109" i="2" s="1"/>
  <c r="P110" i="2" s="1"/>
  <c r="Q107" i="2"/>
  <c r="Q109" i="2" s="1"/>
  <c r="Q110" i="2" s="1"/>
  <c r="L19" i="8"/>
  <c r="R107" i="2"/>
  <c r="R109" i="2" s="1"/>
  <c r="R110" i="2" s="1"/>
  <c r="L20" i="8"/>
  <c r="S107" i="2"/>
  <c r="S109" i="2" s="1"/>
  <c r="S110" i="2" s="1"/>
  <c r="L21" i="8"/>
  <c r="L22" i="8"/>
  <c r="T107" i="2"/>
  <c r="T109" i="2" s="1"/>
  <c r="T110" i="2" s="1"/>
  <c r="U107" i="2"/>
  <c r="U109" i="2" s="1"/>
  <c r="U110" i="2" s="1"/>
  <c r="L23" i="8"/>
  <c r="L24" i="8"/>
  <c r="V107" i="2"/>
  <c r="V109" i="2" s="1"/>
  <c r="V110" i="2" s="1"/>
  <c r="L25" i="8"/>
  <c r="W107" i="2"/>
  <c r="W109" i="2" s="1"/>
  <c r="W110" i="2" s="1"/>
  <c r="X107" i="2"/>
  <c r="X109" i="2" s="1"/>
  <c r="X110" i="2" s="1"/>
  <c r="L26" i="8"/>
  <c r="L27" i="8"/>
  <c r="Y107" i="2"/>
  <c r="Y109" i="2" s="1"/>
  <c r="Y110" i="2" s="1"/>
  <c r="L28" i="8"/>
  <c r="Z107" i="2"/>
  <c r="Z109" i="2" s="1"/>
  <c r="Z110" i="2" s="1"/>
  <c r="L29" i="8"/>
  <c r="AA107" i="2"/>
  <c r="AA109" i="2" s="1"/>
  <c r="AA110" i="2" s="1"/>
  <c r="L30" i="8"/>
  <c r="AB107" i="2"/>
  <c r="AB109" i="2" s="1"/>
  <c r="AB110" i="2" s="1"/>
  <c r="AC107" i="2"/>
  <c r="AC109" i="2" s="1"/>
  <c r="AC110" i="2" s="1"/>
  <c r="L31" i="8"/>
  <c r="AD107" i="2"/>
  <c r="AD109" i="2" s="1"/>
  <c r="AD110" i="2" s="1"/>
  <c r="L32" i="8"/>
  <c r="L33" i="8"/>
  <c r="AE107" i="2"/>
  <c r="AE109" i="2" s="1"/>
  <c r="AE110" i="2" s="1"/>
  <c r="B111" i="2"/>
  <c r="M4" i="8"/>
  <c r="M5" i="8"/>
  <c r="C111" i="2"/>
  <c r="C112" i="2" s="1"/>
  <c r="D111" i="2"/>
  <c r="D112" i="2" s="1"/>
  <c r="M6" i="8"/>
  <c r="E111" i="2"/>
  <c r="E112" i="2" s="1"/>
  <c r="M7" i="8"/>
  <c r="F111" i="2"/>
  <c r="F112" i="2" s="1"/>
  <c r="M8" i="8"/>
  <c r="G111" i="2"/>
  <c r="M9" i="8"/>
  <c r="H111" i="2"/>
  <c r="M10" i="8"/>
  <c r="I111" i="2"/>
  <c r="I112" i="2" s="1"/>
  <c r="M11" i="8"/>
  <c r="J111" i="2"/>
  <c r="J112" i="2" s="1"/>
  <c r="M12" i="8"/>
  <c r="M13" i="8"/>
  <c r="K111" i="2"/>
  <c r="K112" i="2" s="1"/>
  <c r="L111" i="2"/>
  <c r="L112" i="2" s="1"/>
  <c r="L7" i="7" s="1"/>
  <c r="L9" i="7" s="1"/>
  <c r="M14" i="8"/>
  <c r="M111" i="2"/>
  <c r="M112" i="2" s="1"/>
  <c r="M7" i="7" s="1"/>
  <c r="M9" i="7" s="1"/>
  <c r="M15" i="8"/>
  <c r="N111" i="2"/>
  <c r="M16" i="8"/>
  <c r="M17" i="8"/>
  <c r="O111" i="2"/>
  <c r="O112" i="2" s="1"/>
  <c r="O7" i="7" s="1"/>
  <c r="O9" i="7" s="1"/>
  <c r="M18" i="8"/>
  <c r="P111" i="2"/>
  <c r="P112" i="2" s="1"/>
  <c r="P7" i="7" s="1"/>
  <c r="P9" i="7" s="1"/>
  <c r="M19" i="8"/>
  <c r="Q111" i="2"/>
  <c r="Q112" i="2" s="1"/>
  <c r="Q7" i="7" s="1"/>
  <c r="Q9" i="7" s="1"/>
  <c r="M20" i="8"/>
  <c r="R111" i="2"/>
  <c r="R112" i="2" s="1"/>
  <c r="R7" i="7" s="1"/>
  <c r="R9" i="7" s="1"/>
  <c r="M21" i="8"/>
  <c r="S111" i="2"/>
  <c r="S112" i="2" s="1"/>
  <c r="S7" i="7" s="1"/>
  <c r="S9" i="7" s="1"/>
  <c r="T111" i="2"/>
  <c r="M22" i="8"/>
  <c r="M23" i="8"/>
  <c r="U111" i="2"/>
  <c r="V111" i="2"/>
  <c r="V112" i="2" s="1"/>
  <c r="V7" i="7" s="1"/>
  <c r="V9" i="7" s="1"/>
  <c r="M24" i="8"/>
  <c r="W111" i="2"/>
  <c r="W112" i="2" s="1"/>
  <c r="W7" i="7" s="1"/>
  <c r="W9" i="7" s="1"/>
  <c r="M25" i="8"/>
  <c r="X111" i="2"/>
  <c r="X112" i="2" s="1"/>
  <c r="X7" i="7" s="1"/>
  <c r="X9" i="7" s="1"/>
  <c r="M26" i="8"/>
  <c r="M27" i="8"/>
  <c r="Y111" i="2"/>
  <c r="Y112" i="2" s="1"/>
  <c r="Y7" i="7" s="1"/>
  <c r="Y9" i="7" s="1"/>
  <c r="M28" i="8"/>
  <c r="Z111" i="2"/>
  <c r="Z112" i="2" s="1"/>
  <c r="Z7" i="7" s="1"/>
  <c r="Z9" i="7" s="1"/>
  <c r="M29" i="8"/>
  <c r="AA111" i="2"/>
  <c r="AA112" i="2" s="1"/>
  <c r="AA7" i="7" s="1"/>
  <c r="AA9" i="7" s="1"/>
  <c r="AB111" i="2"/>
  <c r="AB112" i="2" s="1"/>
  <c r="AB7" i="7" s="1"/>
  <c r="AB9" i="7" s="1"/>
  <c r="M30" i="8"/>
  <c r="AC111" i="2"/>
  <c r="AC112" i="2" s="1"/>
  <c r="AC7" i="7" s="1"/>
  <c r="AC9" i="7" s="1"/>
  <c r="M31" i="8"/>
  <c r="M32" i="8"/>
  <c r="AD111" i="2"/>
  <c r="AD112" i="2" s="1"/>
  <c r="AD7" i="7" s="1"/>
  <c r="AD9" i="7" s="1"/>
  <c r="M33" i="8"/>
  <c r="G363" i="8"/>
  <c r="T112" i="2" l="1"/>
  <c r="T7" i="7" s="1"/>
  <c r="T9" i="7" s="1"/>
  <c r="N112" i="2"/>
  <c r="N7" i="7" s="1"/>
  <c r="N9" i="7" s="1"/>
  <c r="H112" i="2"/>
  <c r="G112" i="2"/>
  <c r="G7" i="7" s="1"/>
  <c r="G9" i="7" s="1"/>
  <c r="U112" i="2"/>
  <c r="U7" i="7" s="1"/>
  <c r="U9" i="7" s="1"/>
  <c r="C58" i="3"/>
  <c r="C57" i="3"/>
  <c r="F7" i="7"/>
  <c r="F9" i="7" s="1"/>
  <c r="K7" i="7"/>
  <c r="K9" i="7" s="1"/>
  <c r="C62" i="3"/>
  <c r="E7" i="7"/>
  <c r="E9" i="7" s="1"/>
  <c r="C56" i="3"/>
  <c r="J7" i="7"/>
  <c r="J9" i="7" s="1"/>
  <c r="C61" i="3"/>
  <c r="C55" i="3"/>
  <c r="D7" i="7"/>
  <c r="D9" i="7" s="1"/>
  <c r="C54" i="3"/>
  <c r="C7" i="7"/>
  <c r="C9" i="7" s="1"/>
  <c r="C60" i="3"/>
  <c r="I7" i="7"/>
  <c r="I9" i="7" s="1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J363" i="8"/>
  <c r="H7" i="7"/>
  <c r="H9" i="7" s="1"/>
  <c r="C59" i="3"/>
  <c r="C35" i="3"/>
  <c r="B23" i="2"/>
  <c r="C36" i="3"/>
  <c r="C38" i="3" s="1"/>
  <c r="B109" i="2"/>
  <c r="B110" i="2" s="1"/>
  <c r="B112" i="2" s="1"/>
  <c r="C47" i="3" l="1"/>
  <c r="B7" i="7"/>
  <c r="C53" i="3"/>
  <c r="C84" i="3" s="1"/>
  <c r="B19" i="5"/>
  <c r="B21" i="5" s="1"/>
  <c r="C43" i="3"/>
  <c r="C15" i="1" s="1"/>
  <c r="B29" i="5"/>
  <c r="B31" i="5" s="1"/>
  <c r="B32" i="5" s="1"/>
  <c r="F14" i="6"/>
  <c r="F19" i="6"/>
  <c r="F13" i="6"/>
  <c r="B10" i="6"/>
  <c r="F18" i="6"/>
  <c r="F20" i="6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AE111" i="2"/>
  <c r="AE112" i="2" s="1"/>
  <c r="AE7" i="7" s="1"/>
  <c r="AE9" i="7" s="1"/>
  <c r="I363" i="8"/>
  <c r="F6" i="1"/>
  <c r="F6" i="2"/>
  <c r="F17" i="6" l="1"/>
  <c r="F15" i="6"/>
  <c r="P33" i="8"/>
  <c r="AE113" i="2"/>
  <c r="AE12" i="7" s="1"/>
  <c r="AE13" i="7" s="1"/>
  <c r="C49" i="3"/>
  <c r="C13" i="1" s="1"/>
  <c r="B15" i="2"/>
  <c r="G8" i="2"/>
  <c r="G8" i="1"/>
  <c r="F16" i="6"/>
  <c r="B18" i="7"/>
  <c r="B15" i="7"/>
  <c r="B9" i="7"/>
  <c r="B14" i="7" l="1"/>
  <c r="B19" i="7"/>
  <c r="B24" i="7"/>
  <c r="C15" i="7"/>
  <c r="D15" i="7" s="1"/>
  <c r="E15" i="7" s="1"/>
  <c r="F15" i="7" s="1"/>
  <c r="G15" i="7" s="1"/>
  <c r="H15" i="7" s="1"/>
  <c r="I15" i="7" s="1"/>
  <c r="J15" i="7" s="1"/>
  <c r="K15" i="7" s="1"/>
  <c r="L15" i="7" s="1"/>
  <c r="M15" i="7" s="1"/>
  <c r="N15" i="7" s="1"/>
  <c r="O15" i="7" s="1"/>
  <c r="P15" i="7" s="1"/>
  <c r="Q15" i="7" s="1"/>
  <c r="R15" i="7" s="1"/>
  <c r="S15" i="7" s="1"/>
  <c r="T15" i="7" s="1"/>
  <c r="U15" i="7" s="1"/>
  <c r="V15" i="7" s="1"/>
  <c r="W15" i="7" s="1"/>
  <c r="X15" i="7" s="1"/>
  <c r="Y15" i="7" s="1"/>
  <c r="Z15" i="7" s="1"/>
  <c r="AA15" i="7" s="1"/>
  <c r="AB15" i="7" s="1"/>
  <c r="AC15" i="7" s="1"/>
  <c r="AD15" i="7" s="1"/>
  <c r="AE15" i="7" s="1"/>
  <c r="B25" i="2"/>
  <c r="B24" i="2"/>
  <c r="B21" i="7"/>
  <c r="B20" i="7"/>
  <c r="G6" i="2" l="1"/>
  <c r="G6" i="1"/>
  <c r="H6" i="1"/>
  <c r="H6" i="2"/>
  <c r="B22" i="7"/>
  <c r="C46" i="3"/>
  <c r="C14" i="1"/>
  <c r="B22" i="2"/>
  <c r="C12" i="1"/>
  <c r="B20" i="2"/>
  <c r="B23" i="7"/>
  <c r="C14" i="7"/>
  <c r="D14" i="7" s="1"/>
  <c r="E14" i="7" s="1"/>
  <c r="F14" i="7" s="1"/>
  <c r="G14" i="7" s="1"/>
  <c r="H14" i="7" s="1"/>
  <c r="I14" i="7" s="1"/>
  <c r="J14" i="7" s="1"/>
  <c r="K14" i="7" s="1"/>
  <c r="L14" i="7" s="1"/>
  <c r="M14" i="7" s="1"/>
  <c r="N14" i="7" s="1"/>
  <c r="O14" i="7" s="1"/>
  <c r="P14" i="7" s="1"/>
  <c r="Q14" i="7" s="1"/>
  <c r="R14" i="7" s="1"/>
  <c r="S14" i="7" s="1"/>
  <c r="T14" i="7" s="1"/>
  <c r="U14" i="7" s="1"/>
  <c r="V14" i="7" s="1"/>
  <c r="W14" i="7" s="1"/>
  <c r="X14" i="7" s="1"/>
  <c r="Y14" i="7" s="1"/>
  <c r="Z14" i="7" s="1"/>
  <c r="AA14" i="7" s="1"/>
  <c r="AB14" i="7" s="1"/>
  <c r="AC14" i="7" s="1"/>
  <c r="AD14" i="7" s="1"/>
  <c r="AE14" i="7" s="1"/>
  <c r="E6" i="1" l="1"/>
  <c r="E6" i="2"/>
  <c r="D6" i="2"/>
  <c r="D6" i="1"/>
</calcChain>
</file>

<file path=xl/sharedStrings.xml><?xml version="1.0" encoding="utf-8"?>
<sst xmlns="http://schemas.openxmlformats.org/spreadsheetml/2006/main" count="375" uniqueCount="277">
  <si>
    <t>Dashboard  |  Immobilien-Investment auf einen Blick</t>
  </si>
  <si>
    <t>Alle Werte sind mit den anderen Tabellenblättern verknüpft.</t>
  </si>
  <si>
    <t>Kennzahlen (KPIs)</t>
  </si>
  <si>
    <t>Rendite-Kennzahlen</t>
  </si>
  <si>
    <t>Bruttomietrendite</t>
  </si>
  <si>
    <t>Nettomietrendite</t>
  </si>
  <si>
    <t>EK-Rendite (p.a.)</t>
  </si>
  <si>
    <t>Break-Even-Miete</t>
  </si>
  <si>
    <t>EK-CAGR</t>
  </si>
  <si>
    <t>FK-CAGR</t>
  </si>
  <si>
    <t>Finanzierung &amp; Exit</t>
  </si>
  <si>
    <t>Kaufpreisfaktor</t>
  </si>
  <si>
    <t>LTV</t>
  </si>
  <si>
    <t>Gesamtinvestition</t>
  </si>
  <si>
    <t>Darlehensbetrag</t>
  </si>
  <si>
    <t>Netto-Auszahlung Exit</t>
  </si>
  <si>
    <t>Investor Profit</t>
  </si>
  <si>
    <t>Szenario-Vergleich</t>
  </si>
  <si>
    <t>Kennzahl</t>
  </si>
  <si>
    <t>Worst</t>
  </si>
  <si>
    <t>Base</t>
  </si>
  <si>
    <t>Best</t>
  </si>
  <si>
    <t>Ø CF p.a.</t>
  </si>
  <si>
    <t>Cashflow Jahr 1</t>
  </si>
  <si>
    <t>Zinstest (Verknüpfung)</t>
  </si>
  <si>
    <t>Zins-Stufe</t>
  </si>
  <si>
    <t>Netto-Cashflow Jahr 1</t>
  </si>
  <si>
    <t>Monatliche Annuität</t>
  </si>
  <si>
    <t>Immobilien-Kalkulations-Rechner</t>
  </si>
  <si>
    <t>Alles auf dieser Farbe ist Ihr Input, den Sie für die jeweilige Berechnung oder Ausführung anpassen müssen. Bisher vorhandene Daten dienen nur als Beispiel</t>
  </si>
  <si>
    <t>Kennzahlen-Überblick  |  Auf einen Blick</t>
  </si>
  <si>
    <t>Gesamtinvestitionskosten</t>
  </si>
  <si>
    <t>Szenario- &amp; Exit-Analyse</t>
  </si>
  <si>
    <t>Haltedauer (Jahre)</t>
  </si>
  <si>
    <t>Angenommene Wertsteigerung p.a. (%)</t>
  </si>
  <si>
    <t>Voraussichtlicher Verkaufspreis</t>
  </si>
  <si>
    <t>Restschuld am Ende der Laufzeit</t>
  </si>
  <si>
    <t>Investor Profit (Gesamtgewinn)</t>
  </si>
  <si>
    <t>Angenommene Inflationsrate p.a. (%)</t>
  </si>
  <si>
    <t>Renditen &amp; Kennzahlen</t>
  </si>
  <si>
    <t>Eigenkapitalrendite (p.a., real)</t>
  </si>
  <si>
    <t>Kaufpreisfaktor (Vervielfältiger)</t>
  </si>
  <si>
    <t>Durchschnittl. Cashflow p.a. (real)</t>
  </si>
  <si>
    <t>Break-Even-Miete (mtl., n. Steuer/Ausfall)</t>
  </si>
  <si>
    <t>EK-CAGR (p.a.)</t>
  </si>
  <si>
    <t>FK-CAGR (p.a.)</t>
  </si>
  <si>
    <t>Sektion 1: Objektdaten (Grunddaten)</t>
  </si>
  <si>
    <t>Kaufpreis gesamt</t>
  </si>
  <si>
    <t>Wohnfläche (m²)</t>
  </si>
  <si>
    <t>Kaufpreis / m²</t>
  </si>
  <si>
    <t>Grundstücksfläche (m²)</t>
  </si>
  <si>
    <t>Baujahr</t>
  </si>
  <si>
    <t>Objektart</t>
  </si>
  <si>
    <t>Wohnung</t>
  </si>
  <si>
    <t>Bundesland</t>
  </si>
  <si>
    <t>Bayern</t>
  </si>
  <si>
    <t>PLZ / Lage</t>
  </si>
  <si>
    <t>80331 München</t>
  </si>
  <si>
    <t>Sektion 2: Kaufnebenkosten</t>
  </si>
  <si>
    <t>Grunderwerbsteuer (%)</t>
  </si>
  <si>
    <t>Grunderwerbsteuer (€)</t>
  </si>
  <si>
    <t>Notarkosten (%)</t>
  </si>
  <si>
    <t>Notarkosten (€)</t>
  </si>
  <si>
    <t>Grundbucheintragung (%)</t>
  </si>
  <si>
    <t>Grundbucheintragung (€)</t>
  </si>
  <si>
    <t>Maklerprovision (%)</t>
  </si>
  <si>
    <t>Maklerprovision (€)</t>
  </si>
  <si>
    <t>Gutachter / Wertermittlung</t>
  </si>
  <si>
    <t>Renovierung / Sanierung vor Einzug</t>
  </si>
  <si>
    <t>Sonstige Erwerbsnebenkosten</t>
  </si>
  <si>
    <t>Gesamten Kaufnebenkosten (€)</t>
  </si>
  <si>
    <t>Gesamten Kaufnebenkosten (%)</t>
  </si>
  <si>
    <t>Gesamten Investitionskosten (Kaufpreis + NK)</t>
  </si>
  <si>
    <t>Renovierungs-Check  |  15%-Grenze (§6 Abs. 1 Nr. 1a EStG)</t>
  </si>
  <si>
    <t>Renovierungskosten (vor Einzug)</t>
  </si>
  <si>
    <t>Gebäudewert (Bemessungsgrundlage)</t>
  </si>
  <si>
    <t>Renovierungsquote</t>
  </si>
  <si>
    <t>15%-Grenze (anschaffungsnahe HK)</t>
  </si>
  <si>
    <t>Sofortabzug Renov (nur wenn ≤15%)</t>
  </si>
  <si>
    <t>Aktivierung Renov (gesamter Betrag wenn &gt;15%)</t>
  </si>
  <si>
    <t>Sektion 3: Finanzierung</t>
  </si>
  <si>
    <t>Eigenkapital-Anteil (%)</t>
  </si>
  <si>
    <t>Eigenkapital (€)</t>
  </si>
  <si>
    <t>Zinssatz (p. a. %)</t>
  </si>
  <si>
    <t>Anfängliche Tilgung (rechnerisch %)</t>
  </si>
  <si>
    <t>Monatliche Rate (Annuität)</t>
  </si>
  <si>
    <t>Jährliche Rate</t>
  </si>
  <si>
    <t>Zinsbindung (Jahre)</t>
  </si>
  <si>
    <t>Laufzeit des Kredites (Jahre)</t>
  </si>
  <si>
    <t>Beleihungsauslauf (LTV %)</t>
  </si>
  <si>
    <t>Anschlussfinanzierung aktiv (0=Nein, 1=Ja)</t>
  </si>
  <si>
    <t>Anschlusszins p.a. (%)</t>
  </si>
  <si>
    <t>Absolute Tilgung nach Zinsbindung p.a.</t>
  </si>
  <si>
    <t>Sektion 4: Mieteinnahmen &amp; Ertrag</t>
  </si>
  <si>
    <t>Kaltmiete / m²</t>
  </si>
  <si>
    <t>Kaltmiete monatlich gesamt</t>
  </si>
  <si>
    <t>Warmmiete</t>
  </si>
  <si>
    <t>Mietausfallwagnis (%)</t>
  </si>
  <si>
    <t>Mietausfallwagnis (€)</t>
  </si>
  <si>
    <t>Mieteinnahmen netto p. a.</t>
  </si>
  <si>
    <t>Mietpreisentwicklung (jährl. Steigerung %)</t>
  </si>
  <si>
    <t>Sektion 5: Bewirtschaftungskosten</t>
  </si>
  <si>
    <t>Hausverwaltung (monatlich)</t>
  </si>
  <si>
    <t>Instandhaltungsrücklage p.a.</t>
  </si>
  <si>
    <t>Nicht umlagefähige Nebenkosten p.a.</t>
  </si>
  <si>
    <t>Versicherungen p.a.</t>
  </si>
  <si>
    <t>Grundsteuer B p.a.</t>
  </si>
  <si>
    <t>Hausmeister p.a.</t>
  </si>
  <si>
    <t>Leerstandskosten p.a.</t>
  </si>
  <si>
    <t>Bewirtschaftungskosten gesamt p. a.</t>
  </si>
  <si>
    <t>Sektion 6: Steuer &amp; AfA</t>
  </si>
  <si>
    <t>Gebäudeanteil (%)</t>
  </si>
  <si>
    <t>Gebäudewert für AfA</t>
  </si>
  <si>
    <t>AfA-Satz (%)</t>
  </si>
  <si>
    <t>AfA-Betrag jährlich</t>
  </si>
  <si>
    <t>Persönlicher Grenzsteuersatz (%)</t>
  </si>
  <si>
    <t>Werbungskosten (Sonstige p.a.)</t>
  </si>
  <si>
    <t>Kategorie</t>
  </si>
  <si>
    <t>Jahr 1</t>
  </si>
  <si>
    <t>Jahr 2</t>
  </si>
  <si>
    <t>Jahr 3</t>
  </si>
  <si>
    <t>Jahr 4</t>
  </si>
  <si>
    <t>Jahr 5</t>
  </si>
  <si>
    <t>Jahr 6</t>
  </si>
  <si>
    <t>Jahr 7</t>
  </si>
  <si>
    <t>Jahr 8</t>
  </si>
  <si>
    <t>Jahr 9</t>
  </si>
  <si>
    <t>Jahr 10</t>
  </si>
  <si>
    <t>Jahr 11</t>
  </si>
  <si>
    <t>Jahr 12</t>
  </si>
  <si>
    <t>Jahr 13</t>
  </si>
  <si>
    <t>Jahr 14</t>
  </si>
  <si>
    <t>Jahr 15</t>
  </si>
  <si>
    <t>Jahr 16</t>
  </si>
  <si>
    <t>Jahr 17</t>
  </si>
  <si>
    <t>Jahr 18</t>
  </si>
  <si>
    <t>Jahr 19</t>
  </si>
  <si>
    <t>Jahr 20</t>
  </si>
  <si>
    <t>Jahr 21</t>
  </si>
  <si>
    <t>Jahr 22</t>
  </si>
  <si>
    <t>Jahr 23</t>
  </si>
  <si>
    <t>Jahr 24</t>
  </si>
  <si>
    <t>Jahr 25</t>
  </si>
  <si>
    <t>Jahr 26</t>
  </si>
  <si>
    <t>Jahr 27</t>
  </si>
  <si>
    <t>Jahr 28</t>
  </si>
  <si>
    <t>Jahr 29</t>
  </si>
  <si>
    <t>Jahr 30</t>
  </si>
  <si>
    <t>1. Mieteinnahmen netto p.a.</t>
  </si>
  <si>
    <t>2. Bewirtschaftungskosten p.a.</t>
  </si>
  <si>
    <t>3. Zinsaufwand p.a. (Monatsplan)</t>
  </si>
  <si>
    <t>4. AfA Abschreibung</t>
  </si>
  <si>
    <t>5. Zu versteuernder Gewinn/Verlust</t>
  </si>
  <si>
    <t>6. Steuereffekt (+ Ersparnis / - Last)</t>
  </si>
  <si>
    <t>7. Zins &amp; Tilgung p.a. (Monatsplan)</t>
  </si>
  <si>
    <t>8. Netto-Cashflow nach Steuern</t>
  </si>
  <si>
    <t>9. Restschuld Jahresende (Monatsplan)</t>
  </si>
  <si>
    <t>Szenario-Analyse  |  Worst / Base / Best Case</t>
  </si>
  <si>
    <t>Blaue Zellen = editierbare Abweichungen vom Base-Case. Die Base-Case-Spalte spiegelt die Werte des Hauptsheets.</t>
  </si>
  <si>
    <t>1 | Abweichungen vom Base-Case (%)</t>
  </si>
  <si>
    <t>Variable</t>
  </si>
  <si>
    <t>Worst Case</t>
  </si>
  <si>
    <t>Base Case</t>
  </si>
  <si>
    <t>Best Case</t>
  </si>
  <si>
    <t>Kaufpreis</t>
  </si>
  <si>
    <t>Zinssatz</t>
  </si>
  <si>
    <t>Anfangstilgung</t>
  </si>
  <si>
    <t>Mietpreisentwicklung p.a.</t>
  </si>
  <si>
    <t>Bewirtschaftungskosten gesamt</t>
  </si>
  <si>
    <t>Mietausfallwagnis</t>
  </si>
  <si>
    <t>Wertsteigerung p.a.</t>
  </si>
  <si>
    <t>Leerstandskosten</t>
  </si>
  <si>
    <t>Instandhaltungsrücklage</t>
  </si>
  <si>
    <t>2 | Resultierende Annahmen (absolut)</t>
  </si>
  <si>
    <t>Anschlusszins p.a.</t>
  </si>
  <si>
    <t>3 | Abgeleitete Modellgrößen</t>
  </si>
  <si>
    <t>Jahres-Kaltmiete</t>
  </si>
  <si>
    <t>Jährliche Annuität</t>
  </si>
  <si>
    <t>Zinsaufwand Jahr 1</t>
  </si>
  <si>
    <t>AfA jährlich</t>
  </si>
  <si>
    <t>Steuereffekt Jahr 1</t>
  </si>
  <si>
    <t>Restschuld nach Haltedauer</t>
  </si>
  <si>
    <t>Anschlusszins (Verwendung)</t>
  </si>
  <si>
    <t>4 | Ergebnisse</t>
  </si>
  <si>
    <t>Break-Even-Miete (mtl.)</t>
  </si>
  <si>
    <t>Voraussichtl. Verkaufspreis</t>
  </si>
  <si>
    <t>5 | Jährliche Cashflows über Haltedauer</t>
  </si>
  <si>
    <t>Jahr</t>
  </si>
  <si>
    <t>CF Worst</t>
  </si>
  <si>
    <t>CF Base</t>
  </si>
  <si>
    <t>CF Best</t>
  </si>
  <si>
    <t>Rest Worst</t>
  </si>
  <si>
    <t>Rest Best</t>
  </si>
  <si>
    <t>Σ CF (Haltedauer)</t>
  </si>
  <si>
    <t>Restschuld (Haltedauer)</t>
  </si>
  <si>
    <t>Zins-Sensitivität  |  Stresstest</t>
  </si>
  <si>
    <t>Editierbare Änderungen in %-Punkten gegenüber dem Basiszins des Hauptsheets. Die hervorgehobene Spalte entspricht dem aktuellen Zinssatz.</t>
  </si>
  <si>
    <t>Zinssatz-Stufen</t>
  </si>
  <si>
    <t>Zinssatz-Änderung (%-Punkte)</t>
  </si>
  <si>
    <t>Effektiver Zinssatz</t>
  </si>
  <si>
    <t>Jährl. Zinsaufwand (Jahr 1)</t>
  </si>
  <si>
    <t>Netto-Cashflow Jahr 1 (n. Steuer)</t>
  </si>
  <si>
    <t>Gesamtzinslast (Laufzeit)</t>
  </si>
  <si>
    <t>Exit-Analyse  |  Spekulationssteuer &amp; Investor Profit</t>
  </si>
  <si>
    <t>Blaue Zellen sind editierbar</t>
  </si>
  <si>
    <t>Annahmen (Eingaben)</t>
  </si>
  <si>
    <t>Geplanter Verkaufspreis</t>
  </si>
  <si>
    <t>Verkaufsnebenkosten (%)</t>
  </si>
  <si>
    <t>Kaufjahr</t>
  </si>
  <si>
    <t>Veräußerungsgewinn &amp; Spekulationssteuer</t>
  </si>
  <si>
    <t>Anschaffungskosten gesamt</t>
  </si>
  <si>
    <t>Restschuld zum Verkaufszeitpunkt</t>
  </si>
  <si>
    <t>Kumulierte AfA bis Verkauf</t>
  </si>
  <si>
    <t>Steuerl. Veräußerungsgewinn (§23)</t>
  </si>
  <si>
    <t>Haltedauer &lt; 10 Jahre?</t>
  </si>
  <si>
    <t>Spekulationssteuer</t>
  </si>
  <si>
    <t>Verkaufsnebenkosten (€)</t>
  </si>
  <si>
    <t>Σ Netto-Cashflows (Jahr 1…Halte)</t>
  </si>
  <si>
    <t>− Eigenkapital (Einsatz)</t>
  </si>
  <si>
    <t>Vergleich: Steuerfreier Exit (ab Jahr 10)</t>
  </si>
  <si>
    <t>Verkaufspreis bei Jahr 10</t>
  </si>
  <si>
    <t>Restschuld bei Jahr 10</t>
  </si>
  <si>
    <t>Steuerl. Veräußerungsgewinn (Jahr 10)</t>
  </si>
  <si>
    <t>Spekulationssteuer (Jahr 10)</t>
  </si>
  <si>
    <t>Verkaufsnebenkosten (Jahr 10)</t>
  </si>
  <si>
    <t>Netto-Auszahlung Exit (Jahr 10)</t>
  </si>
  <si>
    <t>Σ Netto-Cashflows (Jahr 1…10)</t>
  </si>
  <si>
    <t>Investor Profit Jahr 10</t>
  </si>
  <si>
    <t>Differenz zu aktuellem Exit</t>
  </si>
  <si>
    <t>Eigenkapital-Optimierung</t>
  </si>
  <si>
    <t>Wie viel Eigenkapital ist für einen positiven Cashflow nötig?</t>
  </si>
  <si>
    <t>Minimum-EK für positiven Cashflow</t>
  </si>
  <si>
    <t>Eigenkapital (Eingabe)</t>
  </si>
  <si>
    <t>Eigenkapital-Anteil</t>
  </si>
  <si>
    <t>Monatsrate (Annuität)</t>
  </si>
  <si>
    <t>Block B | Eigenkapital-Varianten</t>
  </si>
  <si>
    <t>EK-Anteil</t>
  </si>
  <si>
    <t>Monatsrate</t>
  </si>
  <si>
    <t>Realwert-Analyse  |  Inflationsbereinigte Abzinsung</t>
  </si>
  <si>
    <t>Alle 30-Jahres-Werte werden auf den heutigen Kaufkraft-Wert abgezinst.</t>
  </si>
  <si>
    <t>Inflationsrate p.a.</t>
  </si>
  <si>
    <t>Inflationsbereinigte 30-Jahres-Betrachtung</t>
  </si>
  <si>
    <t>Nominaler Netto-Cashflow</t>
  </si>
  <si>
    <t>Abzinsungsfaktor</t>
  </si>
  <si>
    <t>Realer Netto-Cashflow</t>
  </si>
  <si>
    <t>Nominale Mieteinnahmen</t>
  </si>
  <si>
    <t>Reale Mieteinnahmen</t>
  </si>
  <si>
    <t>Nominale Restschuld</t>
  </si>
  <si>
    <t>Reale Restschuld</t>
  </si>
  <si>
    <t>Kumulierter realer Netto-Cashflow</t>
  </si>
  <si>
    <t>Kumulierter nominaler Netto-Cashflow</t>
  </si>
  <si>
    <t>Zusammenfassung</t>
  </si>
  <si>
    <t>Nominaler Gesamt-Cashflow (Haltedauer)</t>
  </si>
  <si>
    <t>Realer Gesamt-Cashflow (Haltedauer)</t>
  </si>
  <si>
    <t>Kaufkraftverlust (€)</t>
  </si>
  <si>
    <t>Kaufkraftverlust (%)</t>
  </si>
  <si>
    <t>Reale Eigenkapitalrendite (p.a., Ø Haltedauer)</t>
  </si>
  <si>
    <t>Break-Even-Jahr (real)</t>
  </si>
  <si>
    <t>Break-Even-Jahr (nominal)</t>
  </si>
  <si>
    <t>Tilgungsplan (monatlich)</t>
  </si>
  <si>
    <t>Laufzeit gesteuert über 'Immobilien-Kalkulation'!B70 (Jahre). Max. 50 Jahre / 600 Monate vorgehalten. Monate nach Kreditende = 0. Spalte H = optionale Sondertilgung (blau). Zinsbindung = B69 | Anschluss aktiv = B72.</t>
  </si>
  <si>
    <t>Monat</t>
  </si>
  <si>
    <t>Zinssatz p.a.</t>
  </si>
  <si>
    <t>Restschuld vor Rate</t>
  </si>
  <si>
    <t>Rate mtl.</t>
  </si>
  <si>
    <t>Zins mtl.</t>
  </si>
  <si>
    <t>Tilgung mtl.</t>
  </si>
  <si>
    <t>Sondertilgung mtl.</t>
  </si>
  <si>
    <t>Restschuld nach Rate</t>
  </si>
  <si>
    <t>Sondertilgung wirksam</t>
  </si>
  <si>
    <t>Zins p.a.</t>
  </si>
  <si>
    <t>Rate p.a.</t>
  </si>
  <si>
    <t>Tilgung p.a.</t>
  </si>
  <si>
    <t>Sondertilgung p.a.</t>
  </si>
  <si>
    <t>Rest Ende Jahr</t>
  </si>
  <si>
    <t>Aktiv? (Jahr≤Laufzeit)</t>
  </si>
  <si>
    <t>Ø realer Cashflow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</si>
</sst>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&quot; €&quot;"/>
    <numFmt numFmtId="165" formatCode="0.0%"/>
    <numFmt numFmtId="166" formatCode="#,##0&quot; €&quot;"/>
    <numFmt numFmtId="167" formatCode="0.00\ %"/>
    <numFmt numFmtId="168" formatCode="#,##0.0\x"/>
    <numFmt numFmtId="169" formatCode="0.00\ %"/>
    <numFmt numFmtId="170" formatCode="#,##0.0"/>
    <numFmt numFmtId="171" formatCode="#,##0.00\ [$€-407];[Red]\-#,##0.00\ [$€-407]"/>
    <numFmt numFmtId="172" formatCode="0.000"/>
  </numFmts>
  <fonts count="27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</font>
    <font>
      <sz val="11"/>
      <color rgb="FF3B3B3B"/>
      <name val="Calibri"/>
      <family val="2"/>
    </font>
    <font>
      <b/>
      <sz val="12"/>
      <color rgb="FF1F4E78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b/>
      <sz val="14"/>
      <color rgb="FF008000"/>
      <name val="Arial"/>
      <family val="2"/>
    </font>
    <font>
      <b/>
      <sz val="10"/>
      <color rgb="FF000000"/>
      <name val="Arial"/>
      <family val="2"/>
    </font>
    <font>
      <sz val="10"/>
      <color rgb="FF008000"/>
      <name val="Arial"/>
      <family val="2"/>
    </font>
    <font>
      <b/>
      <sz val="10"/>
      <color rgb="FF008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8000"/>
      <name val="Arial"/>
      <family val="2"/>
    </font>
    <font>
      <b/>
      <sz val="10"/>
      <color rgb="FF375623"/>
      <name val="Arial"/>
      <family val="2"/>
    </font>
    <font>
      <i/>
      <sz val="8"/>
      <color rgb="FF808080"/>
      <name val="Arial"/>
      <family val="2"/>
    </font>
    <font>
      <b/>
      <sz val="11"/>
      <color rgb="FFFFFFFF"/>
      <name val="Arial"/>
      <family val="2"/>
    </font>
    <font>
      <b/>
      <sz val="11"/>
      <name val="Calibri"/>
      <family val="2"/>
    </font>
    <font>
      <sz val="10"/>
      <color theme="1"/>
      <name val="Arial"/>
      <family val="2"/>
    </font>
    <font>
      <b/>
      <sz val="10"/>
      <color rgb="FFFFFFFF"/>
      <name val="Calibri"/>
      <family val="2"/>
    </font>
    <font>
      <i/>
      <sz val="9"/>
      <color rgb="FF666666"/>
      <name val="Calibri"/>
      <family val="2"/>
    </font>
    <font>
      <i/>
      <sz val="8"/>
      <color rgb="FF666666"/>
      <name val="Calibri"/>
      <family val="2"/>
    </font>
    <font>
      <b/>
      <sz val="12"/>
      <color rgb="FF1F4E78"/>
      <name val="Calibri"/>
      <family val="2"/>
    </font>
    <font>
      <b/>
      <sz val="11"/>
      <color rgb="FF1F4E78"/>
      <name val="Calibri"/>
      <family val="2"/>
    </font>
    <font>
      <b/>
      <sz val="11"/>
      <color rgb="FFFFFFFF"/>
      <name val="Calibri"/>
      <family val="2"/>
    </font>
    <font>
      <b/>
      <sz val="11"/>
      <color rgb="FF1F4E78"/>
      <name val="Calibri"/>
      <family val="2"/>
    </font>
    <font>
      <b/>
      <sz val="11"/>
      <color rgb="FFFFFFFF"/>
      <name val="Calibri"/>
      <family val="2"/>
    </font>
    <font>
      <sz val="11"/>
      <color theme="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1F4E78"/>
        <bgColor rgb="FF2A6099"/>
      </patternFill>
    </fill>
    <fill>
      <patternFill patternType="solid">
        <fgColor rgb="FFB4C7DC"/>
        <bgColor rgb="FFB3B3B3"/>
      </patternFill>
    </fill>
    <fill>
      <patternFill patternType="solid">
        <fgColor rgb="FF729FCF"/>
        <bgColor rgb="FF9C9C9C"/>
      </patternFill>
    </fill>
    <fill>
      <patternFill patternType="solid">
        <fgColor rgb="FFF2F4F7"/>
        <bgColor rgb="FFFFFFFF"/>
      </patternFill>
    </fill>
    <fill>
      <patternFill patternType="solid">
        <fgColor rgb="FFE2EFDA"/>
        <bgColor rgb="FFF2F4F7"/>
      </patternFill>
    </fill>
    <fill>
      <patternFill patternType="solid">
        <fgColor theme="0"/>
        <bgColor indexed="64"/>
      </patternFill>
    </fill>
    <fill>
      <patternFill patternType="solid">
        <fgColor rgb="FFB4C7DC"/>
        <bgColor rgb="FFB4C7DC"/>
      </patternFill>
    </fill>
    <fill>
      <patternFill patternType="solid">
        <fgColor rgb="FF1F4E78"/>
      </patternFill>
    </fill>
    <fill>
      <patternFill patternType="solid">
        <fgColor rgb="FFBDD7EE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3" borderId="0" xfId="0" applyFill="1"/>
    <xf numFmtId="0" fontId="3" fillId="3" borderId="0" xfId="0" applyFont="1" applyFill="1"/>
    <xf numFmtId="3" fontId="10" fillId="3" borderId="1" xfId="0" applyNumberFormat="1" applyFont="1" applyFill="1" applyBorder="1" applyAlignment="1">
      <alignment horizontal="right"/>
    </xf>
    <xf numFmtId="0" fontId="10" fillId="6" borderId="1" xfId="0" applyFont="1" applyFill="1" applyBorder="1"/>
    <xf numFmtId="49" fontId="10" fillId="3" borderId="1" xfId="0" applyNumberFormat="1" applyFont="1" applyFill="1" applyBorder="1" applyAlignment="1">
      <alignment horizontal="right"/>
    </xf>
    <xf numFmtId="49" fontId="10" fillId="3" borderId="1" xfId="0" applyNumberFormat="1" applyFont="1" applyFill="1" applyBorder="1" applyAlignment="1">
      <alignment horizontal="left"/>
    </xf>
    <xf numFmtId="0" fontId="15" fillId="2" borderId="0" xfId="0" applyFont="1" applyFill="1"/>
    <xf numFmtId="0" fontId="15" fillId="2" borderId="0" xfId="0" applyFont="1" applyFill="1" applyAlignment="1">
      <alignment horizontal="right"/>
    </xf>
    <xf numFmtId="0" fontId="7" fillId="5" borderId="1" xfId="0" applyFont="1" applyFill="1" applyBorder="1"/>
    <xf numFmtId="3" fontId="10" fillId="0" borderId="1" xfId="0" applyNumberFormat="1" applyFont="1" applyBorder="1" applyAlignment="1">
      <alignment horizontal="right" vertical="center"/>
    </xf>
    <xf numFmtId="1" fontId="10" fillId="3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3" fontId="7" fillId="5" borderId="1" xfId="0" applyNumberFormat="1" applyFont="1" applyFill="1" applyBorder="1" applyAlignment="1">
      <alignment horizontal="right" vertical="center"/>
    </xf>
    <xf numFmtId="10" fontId="6" fillId="5" borderId="1" xfId="0" applyNumberFormat="1" applyFont="1" applyFill="1" applyBorder="1" applyAlignment="1">
      <alignment horizontal="center" vertical="center"/>
    </xf>
    <xf numFmtId="10" fontId="11" fillId="5" borderId="1" xfId="0" applyNumberFormat="1" applyFont="1" applyFill="1" applyBorder="1" applyAlignment="1">
      <alignment horizontal="center" vertical="center"/>
    </xf>
    <xf numFmtId="10" fontId="10" fillId="0" borderId="1" xfId="0" applyNumberFormat="1" applyFont="1" applyBorder="1" applyAlignment="1">
      <alignment horizontal="right"/>
    </xf>
    <xf numFmtId="0" fontId="14" fillId="0" borderId="0" xfId="0" applyFont="1" applyAlignment="1">
      <alignment horizontal="left" wrapText="1"/>
    </xf>
    <xf numFmtId="0" fontId="0" fillId="7" borderId="0" xfId="0" applyFill="1"/>
    <xf numFmtId="0" fontId="17" fillId="0" borderId="0" xfId="0" applyFont="1"/>
    <xf numFmtId="0" fontId="10" fillId="0" borderId="0" xfId="0" applyFont="1"/>
    <xf numFmtId="10" fontId="10" fillId="8" borderId="1" xfId="0" applyNumberFormat="1" applyFont="1" applyFill="1" applyBorder="1"/>
    <xf numFmtId="10" fontId="7" fillId="0" borderId="1" xfId="0" applyNumberFormat="1" applyFont="1" applyBorder="1" applyAlignment="1">
      <alignment horizontal="right" vertical="center"/>
    </xf>
    <xf numFmtId="10" fontId="0" fillId="0" borderId="0" xfId="0" applyNumberFormat="1"/>
    <xf numFmtId="10" fontId="8" fillId="8" borderId="1" xfId="0" applyNumberFormat="1" applyFont="1" applyFill="1" applyBorder="1" applyAlignment="1">
      <alignment horizontal="right" vertical="center"/>
    </xf>
    <xf numFmtId="10" fontId="8" fillId="0" borderId="1" xfId="0" applyNumberFormat="1" applyFont="1" applyBorder="1" applyAlignment="1">
      <alignment horizontal="right" vertical="center"/>
    </xf>
    <xf numFmtId="10" fontId="10" fillId="0" borderId="1" xfId="0" applyNumberFormat="1" applyFont="1" applyBorder="1" applyAlignment="1">
      <alignment horizontal="right" vertical="center"/>
    </xf>
    <xf numFmtId="1" fontId="10" fillId="8" borderId="1" xfId="0" applyNumberFormat="1" applyFont="1" applyFill="1" applyBorder="1" applyAlignment="1">
      <alignment horizontal="right"/>
    </xf>
    <xf numFmtId="10" fontId="10" fillId="8" borderId="1" xfId="0" applyNumberFormat="1" applyFont="1" applyFill="1" applyBorder="1" applyAlignment="1">
      <alignment horizontal="right"/>
    </xf>
    <xf numFmtId="0" fontId="10" fillId="0" borderId="1" xfId="0" applyFont="1" applyBorder="1"/>
    <xf numFmtId="0" fontId="20" fillId="0" borderId="0" xfId="0" applyFont="1"/>
    <xf numFmtId="0" fontId="18" fillId="9" borderId="0" xfId="0" applyFont="1" applyFill="1"/>
    <xf numFmtId="0" fontId="18" fillId="9" borderId="0" xfId="0" applyFont="1" applyFill="1" applyAlignment="1">
      <alignment horizontal="center" vertical="center" wrapText="1"/>
    </xf>
    <xf numFmtId="10" fontId="0" fillId="10" borderId="0" xfId="0" applyNumberFormat="1" applyFill="1"/>
    <xf numFmtId="2" fontId="6" fillId="5" borderId="1" xfId="0" applyNumberFormat="1" applyFont="1" applyFill="1" applyBorder="1" applyAlignment="1">
      <alignment horizontal="center" vertical="center"/>
    </xf>
    <xf numFmtId="0" fontId="22" fillId="0" borderId="0" xfId="0" applyFont="1"/>
    <xf numFmtId="0" fontId="23" fillId="9" borderId="0" xfId="0" applyFont="1" applyFill="1"/>
    <xf numFmtId="0" fontId="24" fillId="0" borderId="0" xfId="0" applyFont="1"/>
    <xf numFmtId="0" fontId="25" fillId="9" borderId="0" xfId="0" applyFont="1" applyFill="1"/>
    <xf numFmtId="0" fontId="26" fillId="11" borderId="0" xfId="0" applyFont="1" applyFill="1"/>
    <xf numFmtId="164" fontId="6" fillId="5" borderId="1" xfId="0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center" vertical="center"/>
    </xf>
    <xf numFmtId="166" fontId="6" fillId="5" borderId="1" xfId="0" applyNumberFormat="1" applyFont="1" applyFill="1" applyBorder="1" applyAlignment="1">
      <alignment horizontal="center" vertical="center"/>
    </xf>
    <xf numFmtId="166" fontId="8" fillId="5" borderId="1" xfId="0" applyNumberFormat="1" applyFont="1" applyFill="1" applyBorder="1" applyAlignment="1">
      <alignment horizontal="right" vertical="center"/>
    </xf>
    <xf numFmtId="10" fontId="8" fillId="5" borderId="1" xfId="0" applyNumberFormat="1" applyFont="1" applyFill="1" applyBorder="1" applyAlignment="1">
      <alignment horizontal="right" vertical="center"/>
    </xf>
    <xf numFmtId="167" fontId="9" fillId="0" borderId="1" xfId="0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166" fontId="0" fillId="0" borderId="0" xfId="0" applyNumberFormat="1"/>
    <xf numFmtId="167" fontId="11" fillId="5" borderId="1" xfId="0" applyNumberFormat="1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/>
    </xf>
    <xf numFmtId="168" fontId="11" fillId="5" borderId="1" xfId="0" applyNumberFormat="1" applyFont="1" applyFill="1" applyBorder="1" applyAlignment="1">
      <alignment horizontal="center" vertical="center"/>
    </xf>
    <xf numFmtId="165" fontId="11" fillId="5" borderId="1" xfId="0" applyNumberFormat="1" applyFont="1" applyFill="1" applyBorder="1" applyAlignment="1">
      <alignment horizontal="center" vertical="center"/>
    </xf>
    <xf numFmtId="166" fontId="11" fillId="5" borderId="1" xfId="0" applyNumberFormat="1" applyFont="1" applyFill="1" applyBorder="1" applyAlignment="1">
      <alignment horizontal="center" vertical="center"/>
    </xf>
    <xf numFmtId="166" fontId="12" fillId="5" borderId="1" xfId="0" applyNumberFormat="1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>
      <alignment horizontal="right"/>
    </xf>
    <xf numFmtId="166" fontId="10" fillId="0" borderId="1" xfId="0" applyNumberFormat="1" applyFont="1" applyBorder="1" applyAlignment="1">
      <alignment horizontal="right"/>
    </xf>
    <xf numFmtId="169" fontId="10" fillId="0" borderId="1" xfId="0" applyNumberFormat="1" applyFont="1" applyBorder="1" applyAlignment="1">
      <alignment horizontal="right"/>
    </xf>
    <xf numFmtId="170" fontId="10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6" fontId="7" fillId="3" borderId="1" xfId="0" applyNumberFormat="1" applyFont="1" applyFill="1" applyBorder="1" applyAlignment="1">
      <alignment horizontal="right"/>
    </xf>
    <xf numFmtId="169" fontId="10" fillId="3" borderId="1" xfId="0" applyNumberFormat="1" applyFont="1" applyFill="1" applyBorder="1" applyAlignment="1">
      <alignment horizontal="right"/>
    </xf>
    <xf numFmtId="166" fontId="10" fillId="3" borderId="1" xfId="0" applyNumberFormat="1" applyFont="1" applyFill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169" fontId="7" fillId="0" borderId="1" xfId="0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 vertical="center"/>
    </xf>
    <xf numFmtId="165" fontId="10" fillId="0" borderId="1" xfId="0" applyNumberFormat="1" applyFont="1" applyBorder="1" applyAlignment="1">
      <alignment horizontal="right"/>
    </xf>
    <xf numFmtId="171" fontId="10" fillId="3" borderId="1" xfId="0" applyNumberFormat="1" applyFont="1" applyFill="1" applyBorder="1" applyAlignment="1">
      <alignment horizontal="right"/>
    </xf>
    <xf numFmtId="164" fontId="10" fillId="3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6" fontId="7" fillId="5" borderId="1" xfId="0" applyNumberFormat="1" applyFont="1" applyFill="1" applyBorder="1" applyAlignment="1">
      <alignment horizontal="right"/>
    </xf>
    <xf numFmtId="165" fontId="10" fillId="3" borderId="1" xfId="0" applyNumberFormat="1" applyFont="1" applyFill="1" applyBorder="1" applyAlignment="1">
      <alignment horizontal="right" vertical="center"/>
    </xf>
    <xf numFmtId="167" fontId="8" fillId="0" borderId="1" xfId="0" applyNumberFormat="1" applyFont="1" applyBorder="1" applyAlignment="1">
      <alignment horizontal="right" vertical="center"/>
    </xf>
    <xf numFmtId="166" fontId="7" fillId="5" borderId="1" xfId="0" applyNumberFormat="1" applyFont="1" applyFill="1" applyBorder="1" applyAlignment="1">
      <alignment horizontal="right" vertical="center"/>
    </xf>
    <xf numFmtId="167" fontId="7" fillId="5" borderId="1" xfId="0" applyNumberFormat="1" applyFont="1" applyFill="1" applyBorder="1" applyAlignment="1">
      <alignment horizontal="right" vertical="center"/>
    </xf>
    <xf numFmtId="10" fontId="7" fillId="5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167" fontId="10" fillId="3" borderId="1" xfId="0" applyNumberFormat="1" applyFont="1" applyFill="1" applyBorder="1" applyAlignment="1">
      <alignment horizontal="right" vertical="center"/>
    </xf>
    <xf numFmtId="167" fontId="7" fillId="6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64" fontId="7" fillId="6" borderId="1" xfId="0" applyNumberFormat="1" applyFont="1" applyFill="1" applyBorder="1" applyAlignment="1">
      <alignment horizontal="right" vertical="center"/>
    </xf>
    <xf numFmtId="166" fontId="7" fillId="6" borderId="1" xfId="0" applyNumberFormat="1" applyFont="1" applyFill="1" applyBorder="1" applyAlignment="1">
      <alignment horizontal="right" vertical="center"/>
    </xf>
    <xf numFmtId="165" fontId="10" fillId="0" borderId="1" xfId="0" applyNumberFormat="1" applyFont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 vertical="center"/>
    </xf>
    <xf numFmtId="166" fontId="16" fillId="6" borderId="1" xfId="0" applyNumberFormat="1" applyFont="1" applyFill="1" applyBorder="1" applyAlignment="1">
      <alignment horizontal="right" vertical="center"/>
    </xf>
    <xf numFmtId="166" fontId="16" fillId="0" borderId="1" xfId="0" applyNumberFormat="1" applyFont="1" applyBorder="1" applyAlignment="1">
      <alignment horizontal="right" vertical="center"/>
    </xf>
    <xf numFmtId="166" fontId="7" fillId="3" borderId="1" xfId="0" applyNumberFormat="1" applyFont="1" applyFill="1" applyBorder="1" applyAlignment="1">
      <alignment horizontal="right" vertical="center"/>
    </xf>
    <xf numFmtId="172" fontId="10" fillId="0" borderId="1" xfId="0" applyNumberFormat="1" applyFont="1" applyBorder="1" applyAlignment="1">
      <alignment horizontal="right" vertical="center"/>
    </xf>
    <xf numFmtId="164" fontId="0" fillId="10" borderId="0" xfId="0" applyNumberFormat="1" applyFill="1"/>
    <xf numFmtId="0" fontId="3" fillId="4" borderId="0" xfId="0" applyFont="1" applyFill="1" applyAlignment="1">
      <alignment horizontal="left" vertical="center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0" fillId="0" borderId="3" xfId="0" applyBorder="1"/>
    <xf numFmtId="0" fontId="19" fillId="0" borderId="0" xfId="0" applyFont="1"/>
    <xf numFmtId="166" fontId="13" fillId="6" borderId="1" xfId="0" applyNumberFormat="1" applyFont="1" applyFill="1" applyBorder="1" applyAlignment="1">
      <alignment horizontal="right"/>
    </xf>
    <xf numFmtId="164" fontId="0" fillId="7" borderId="0" xfId="0" applyNumberFormat="1" applyFill="1"/>
    <xf numFmtId="0" fontId="4" fillId="2" borderId="1" xfId="0" applyFont="1" applyFill="1" applyBorder="1" applyAlignment="1">
      <alignment horizontal="left" vertical="center"/>
    </xf>
    <xf numFmtId="0" fontId="0" fillId="0" borderId="2" xfId="0" applyBorder="1"/>
    <xf numFmtId="0" fontId="3" fillId="4" borderId="0" xfId="0" applyFont="1" applyFill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3" fillId="4" borderId="0" xfId="0" applyFont="1" applyFill="1"/>
    <xf numFmtId="0" fontId="7" fillId="0" borderId="1" xfId="0" applyFont="1" applyBorder="1" applyAlignment="1">
      <alignment horizontal="center" vertical="center" wrapText="1"/>
    </xf>
    <xf numFmtId="0" fontId="0" fillId="0" borderId="3" xfId="0" applyBorder="1"/>
    <xf numFmtId="0" fontId="21" fillId="0" borderId="0" xfId="0" applyFont="1"/>
    <xf numFmtId="0" fontId="19" fillId="0" borderId="0" xfId="0" applyFont="1"/>
  </cellXfs>
  <cellStyles count="1">
    <cellStyle name="Standard" xfId="0" builtinId="0"/>
  </cellStyles>
  <dxfs count="24"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sz val="10"/>
        <color rgb="FF006100"/>
        <name val="Arial"/>
        <charset val="1"/>
      </font>
    </dxf>
    <dxf>
      <font>
        <b/>
        <sz val="10"/>
        <color rgb="FF006100"/>
        <name val="Arial"/>
        <charset val="1"/>
      </font>
      <fill>
        <patternFill>
          <bgColor rgb="FFC6EFCE"/>
        </patternFill>
      </fill>
    </dxf>
    <dxf>
      <font>
        <b/>
        <sz val="10"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0006"/>
      </font>
      <fill>
        <patternFill patternType="solid">
          <f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4C7DC"/>
      <rgbColor rgb="FF808080"/>
      <rgbColor rgb="FF729FCF"/>
      <rgbColor rgb="FF993366"/>
      <rgbColor rgb="FFF2F4F7"/>
      <rgbColor rgb="FFE2EFDA"/>
      <rgbColor rgb="FF660066"/>
      <rgbColor rgb="FFFF8080"/>
      <rgbColor rgb="FF2A6099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B3B3B3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C9C9C"/>
      <rgbColor rgb="FF003366"/>
      <rgbColor rgb="FF339966"/>
      <rgbColor rgb="FF006100"/>
      <rgbColor rgb="FF375623"/>
      <rgbColor rgb="FF993300"/>
      <rgbColor rgb="FF993366"/>
      <rgbColor rgb="FF1F4E78"/>
      <rgbColor rgb="FF3B3B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 rot="0"/>
          <a:lstStyle/>
          <a:p>
            <a:pPr>
              <a:defRPr sz="1300" b="0" strike="noStrike">
                <a:uFillTx/>
                <a:latin typeface="Arial"/>
              </a:defRPr>
            </a:pPr>
            <a:r>
              <a:rPr lang="de-DE" sz="1800" b="1" strike="noStrike">
                <a:solidFill>
                  <a:srgbClr val="000000"/>
                </a:solidFill>
                <a:uFillTx/>
                <a:latin typeface="Calibri"/>
              </a:rPr>
              <a:t>Netto-Cashflow nach Steuern (30 Jahre)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'Immobilien-Kalkulation'!$A$112</c:f>
              <c:strCache>
                <c:ptCount val="1"/>
                <c:pt idx="0">
                  <c:v>8. Netto-Cashflow nach Steuern</c:v>
                </c:pt>
              </c:strCache>
            </c:strRef>
          </c:tx>
          <c:spPr>
            <a:solidFill>
              <a:srgbClr val="729FCF"/>
            </a:solidFill>
            <a:ln w="12600">
              <a:solidFill>
                <a:srgbClr val="729FCF"/>
              </a:solidFill>
              <a:prstDash val="solid"/>
              <a:round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'Immobilien-Kalkulation'!$B$104:$AE$104</c:f>
              <c:strCache>
                <c:ptCount val="30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  <c:pt idx="3">
                  <c:v>Jahr 4</c:v>
                </c:pt>
                <c:pt idx="4">
                  <c:v>Jahr 5</c:v>
                </c:pt>
                <c:pt idx="5">
                  <c:v>Jahr 6</c:v>
                </c:pt>
                <c:pt idx="6">
                  <c:v>Jahr 7</c:v>
                </c:pt>
                <c:pt idx="7">
                  <c:v>Jahr 8</c:v>
                </c:pt>
                <c:pt idx="8">
                  <c:v>Jahr 9</c:v>
                </c:pt>
                <c:pt idx="9">
                  <c:v>Jahr 10</c:v>
                </c:pt>
                <c:pt idx="10">
                  <c:v>Jahr 11</c:v>
                </c:pt>
                <c:pt idx="11">
                  <c:v>Jahr 12</c:v>
                </c:pt>
                <c:pt idx="12">
                  <c:v>Jahr 13</c:v>
                </c:pt>
                <c:pt idx="13">
                  <c:v>Jahr 14</c:v>
                </c:pt>
                <c:pt idx="14">
                  <c:v>Jahr 15</c:v>
                </c:pt>
                <c:pt idx="15">
                  <c:v>Jahr 16</c:v>
                </c:pt>
                <c:pt idx="16">
                  <c:v>Jahr 17</c:v>
                </c:pt>
                <c:pt idx="17">
                  <c:v>Jahr 18</c:v>
                </c:pt>
                <c:pt idx="18">
                  <c:v>Jahr 19</c:v>
                </c:pt>
                <c:pt idx="19">
                  <c:v>Jahr 20</c:v>
                </c:pt>
                <c:pt idx="20">
                  <c:v>Jahr 21</c:v>
                </c:pt>
                <c:pt idx="21">
                  <c:v>Jahr 22</c:v>
                </c:pt>
                <c:pt idx="22">
                  <c:v>Jahr 23</c:v>
                </c:pt>
                <c:pt idx="23">
                  <c:v>Jahr 24</c:v>
                </c:pt>
                <c:pt idx="24">
                  <c:v>Jahr 25</c:v>
                </c:pt>
                <c:pt idx="25">
                  <c:v>Jahr 26</c:v>
                </c:pt>
                <c:pt idx="26">
                  <c:v>Jahr 27</c:v>
                </c:pt>
                <c:pt idx="27">
                  <c:v>Jahr 28</c:v>
                </c:pt>
                <c:pt idx="28">
                  <c:v>Jahr 29</c:v>
                </c:pt>
                <c:pt idx="29">
                  <c:v>Jahr 30</c:v>
                </c:pt>
              </c:strCache>
            </c:strRef>
          </c:cat>
          <c:val>
            <c:numRef>
              <c:f>'Immobilien-Kalkulation'!$B$112:$AE$112</c:f>
              <c:numCache>
                <c:formatCode>#,##0" €"</c:formatCode>
                <c:ptCount val="30"/>
                <c:pt idx="0">
                  <c:v>1610.7017117985579</c:v>
                </c:pt>
                <c:pt idx="1">
                  <c:v>-4679.8446257441683</c:v>
                </c:pt>
                <c:pt idx="2">
                  <c:v>-4671.8013835606043</c:v>
                </c:pt>
                <c:pt idx="3">
                  <c:v>-4665.2517745510304</c:v>
                </c:pt>
                <c:pt idx="4">
                  <c:v>-4660.282585100611</c:v>
                </c:pt>
                <c:pt idx="5">
                  <c:v>-4656.98431327659</c:v>
                </c:pt>
                <c:pt idx="6">
                  <c:v>-4655.4513121332693</c:v>
                </c:pt>
                <c:pt idx="7">
                  <c:v>-4655.7819383095803</c:v>
                </c:pt>
                <c:pt idx="8">
                  <c:v>-4658.0787061106021</c:v>
                </c:pt>
                <c:pt idx="9">
                  <c:v>-4662.448447271332</c:v>
                </c:pt>
                <c:pt idx="10">
                  <c:v>-4669.0024766080032</c:v>
                </c:pt>
                <c:pt idx="11">
                  <c:v>-4677.8567637696733</c:v>
                </c:pt>
                <c:pt idx="12">
                  <c:v>-4689.1321113104023</c:v>
                </c:pt>
                <c:pt idx="13">
                  <c:v>-4702.9543393101703</c:v>
                </c:pt>
                <c:pt idx="14">
                  <c:v>-4719.4544767809066</c:v>
                </c:pt>
                <c:pt idx="15">
                  <c:v>-4738.7689601024504</c:v>
                </c:pt>
                <c:pt idx="16">
                  <c:v>-4761.0398387419527</c:v>
                </c:pt>
                <c:pt idx="17">
                  <c:v>-4786.4149885193965</c:v>
                </c:pt>
                <c:pt idx="18">
                  <c:v>-4815.0483326911963</c:v>
                </c:pt>
                <c:pt idx="19">
                  <c:v>-4847.1000711336646</c:v>
                </c:pt>
                <c:pt idx="20">
                  <c:v>-4882.7369179180823</c:v>
                </c:pt>
                <c:pt idx="21">
                  <c:v>-4922.1323475796689</c:v>
                </c:pt>
                <c:pt idx="22">
                  <c:v>-4965.4668503934363</c:v>
                </c:pt>
                <c:pt idx="23">
                  <c:v>-5012.9281969811645</c:v>
                </c:pt>
                <c:pt idx="24">
                  <c:v>-5064.7117125852828</c:v>
                </c:pt>
                <c:pt idx="25">
                  <c:v>-5121.020561357429</c:v>
                </c:pt>
                <c:pt idx="26">
                  <c:v>-5182.0660410219298</c:v>
                </c:pt>
                <c:pt idx="27">
                  <c:v>-5248.0678882872417</c:v>
                </c:pt>
                <c:pt idx="28">
                  <c:v>-5319.2545953917452</c:v>
                </c:pt>
                <c:pt idx="29">
                  <c:v>-5395.8637381839944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A4-4A11-9FFD-282A146A4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8693"/>
        <c:axId val="37989764"/>
      </c:barChart>
      <c:catAx>
        <c:axId val="11948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37989764"/>
        <c:crosses val="autoZero"/>
        <c:auto val="1"/>
        <c:lblAlgn val="ctr"/>
        <c:lblOffset val="100"/>
        <c:noMultiLvlLbl val="0"/>
      </c:catAx>
      <c:valAx>
        <c:axId val="3798976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11948693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 rot="0"/>
          <a:lstStyle/>
          <a:p>
            <a:pPr>
              <a:defRPr sz="1300" b="0" strike="noStrike">
                <a:uFillTx/>
                <a:latin typeface="Arial"/>
              </a:defRPr>
            </a:pPr>
            <a:r>
              <a:rPr lang="de-DE" sz="1800" b="1" strike="noStrike">
                <a:solidFill>
                  <a:srgbClr val="000000"/>
                </a:solidFill>
                <a:uFillTx/>
                <a:latin typeface="Calibri"/>
              </a:rPr>
              <a:t>Kumulierter Cashflow: nominal vs. real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'Realwert-Analyse'!$A$15</c:f>
              <c:strCache>
                <c:ptCount val="1"/>
                <c:pt idx="0">
                  <c:v>Kumulierter nominaler Netto-Cashflow</c:v>
                </c:pt>
              </c:strCache>
            </c:strRef>
          </c:tx>
          <c:spPr>
            <a:ln w="28080">
              <a:solidFill>
                <a:srgbClr val="1F4E78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'Realwert-Analyse'!$B$6:$AE$6</c:f>
              <c:strCache>
                <c:ptCount val="30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  <c:pt idx="3">
                  <c:v>Jahr 4</c:v>
                </c:pt>
                <c:pt idx="4">
                  <c:v>Jahr 5</c:v>
                </c:pt>
                <c:pt idx="5">
                  <c:v>Jahr 6</c:v>
                </c:pt>
                <c:pt idx="6">
                  <c:v>Jahr 7</c:v>
                </c:pt>
                <c:pt idx="7">
                  <c:v>Jahr 8</c:v>
                </c:pt>
                <c:pt idx="8">
                  <c:v>Jahr 9</c:v>
                </c:pt>
                <c:pt idx="9">
                  <c:v>Jahr 10</c:v>
                </c:pt>
                <c:pt idx="10">
                  <c:v>Jahr 11</c:v>
                </c:pt>
                <c:pt idx="11">
                  <c:v>Jahr 12</c:v>
                </c:pt>
                <c:pt idx="12">
                  <c:v>Jahr 13</c:v>
                </c:pt>
                <c:pt idx="13">
                  <c:v>Jahr 14</c:v>
                </c:pt>
                <c:pt idx="14">
                  <c:v>Jahr 15</c:v>
                </c:pt>
                <c:pt idx="15">
                  <c:v>Jahr 16</c:v>
                </c:pt>
                <c:pt idx="16">
                  <c:v>Jahr 17</c:v>
                </c:pt>
                <c:pt idx="17">
                  <c:v>Jahr 18</c:v>
                </c:pt>
                <c:pt idx="18">
                  <c:v>Jahr 19</c:v>
                </c:pt>
                <c:pt idx="19">
                  <c:v>Jahr 20</c:v>
                </c:pt>
                <c:pt idx="20">
                  <c:v>Jahr 21</c:v>
                </c:pt>
                <c:pt idx="21">
                  <c:v>Jahr 22</c:v>
                </c:pt>
                <c:pt idx="22">
                  <c:v>Jahr 23</c:v>
                </c:pt>
                <c:pt idx="23">
                  <c:v>Jahr 24</c:v>
                </c:pt>
                <c:pt idx="24">
                  <c:v>Jahr 25</c:v>
                </c:pt>
                <c:pt idx="25">
                  <c:v>Jahr 26</c:v>
                </c:pt>
                <c:pt idx="26">
                  <c:v>Jahr 27</c:v>
                </c:pt>
                <c:pt idx="27">
                  <c:v>Jahr 28</c:v>
                </c:pt>
                <c:pt idx="28">
                  <c:v>Jahr 29</c:v>
                </c:pt>
                <c:pt idx="29">
                  <c:v>Jahr 30</c:v>
                </c:pt>
              </c:strCache>
            </c:strRef>
          </c:cat>
          <c:val>
            <c:numRef>
              <c:f>'Realwert-Analyse'!$B$15:$AE$15</c:f>
              <c:numCache>
                <c:formatCode>#,##0" €"</c:formatCode>
                <c:ptCount val="30"/>
                <c:pt idx="0">
                  <c:v>1610.7017117985579</c:v>
                </c:pt>
                <c:pt idx="1">
                  <c:v>-3069.1429139456104</c:v>
                </c:pt>
                <c:pt idx="2">
                  <c:v>-7740.9442975062148</c:v>
                </c:pt>
                <c:pt idx="3">
                  <c:v>-12406.196072057246</c:v>
                </c:pt>
                <c:pt idx="4">
                  <c:v>-17066.478657157859</c:v>
                </c:pt>
                <c:pt idx="5">
                  <c:v>-21723.462970434448</c:v>
                </c:pt>
                <c:pt idx="6">
                  <c:v>-26378.914282567719</c:v>
                </c:pt>
                <c:pt idx="7">
                  <c:v>-31034.6962208773</c:v>
                </c:pt>
                <c:pt idx="8">
                  <c:v>-35692.774926987899</c:v>
                </c:pt>
                <c:pt idx="9">
                  <c:v>-40355.223374259229</c:v>
                </c:pt>
                <c:pt idx="10">
                  <c:v>-45024.225850867231</c:v>
                </c:pt>
                <c:pt idx="11">
                  <c:v>-49702.082614636907</c:v>
                </c:pt>
                <c:pt idx="12">
                  <c:v>-54391.214725947313</c:v>
                </c:pt>
                <c:pt idx="13">
                  <c:v>-59094.169065257483</c:v>
                </c:pt>
                <c:pt idx="14">
                  <c:v>-63813.623542038389</c:v>
                </c:pt>
                <c:pt idx="15">
                  <c:v>-68552.392502140836</c:v>
                </c:pt>
                <c:pt idx="16">
                  <c:v>-73313.432340882791</c:v>
                </c:pt>
                <c:pt idx="17">
                  <c:v>-78099.847329402182</c:v>
                </c:pt>
                <c:pt idx="18">
                  <c:v>-82914.895662093375</c:v>
                </c:pt>
                <c:pt idx="19">
                  <c:v>-87761.995733227042</c:v>
                </c:pt>
                <c:pt idx="20">
                  <c:v>-92644.732651145125</c:v>
                </c:pt>
                <c:pt idx="21">
                  <c:v>-97566.864998724792</c:v>
                </c:pt>
                <c:pt idx="22">
                  <c:v>-102532.33184911823</c:v>
                </c:pt>
                <c:pt idx="23">
                  <c:v>-107545.2600460994</c:v>
                </c:pt>
                <c:pt idx="24">
                  <c:v>-112609.97175868468</c:v>
                </c:pt>
                <c:pt idx="25">
                  <c:v>-117730.9923200421</c:v>
                </c:pt>
                <c:pt idx="26">
                  <c:v>-122913.05836106403</c:v>
                </c:pt>
                <c:pt idx="27">
                  <c:v>-128161.12624935128</c:v>
                </c:pt>
                <c:pt idx="28">
                  <c:v>-133480.38084474302</c:v>
                </c:pt>
                <c:pt idx="29">
                  <c:v>-138876.24458292703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89-4D3F-82E3-DFBD6D60D4F4}"/>
            </c:ext>
          </c:extLst>
        </c:ser>
        <c:ser>
          <c:idx val="1"/>
          <c:order val="1"/>
          <c:tx>
            <c:strRef>
              <c:f>'Realwert-Analyse'!$A$14</c:f>
              <c:strCache>
                <c:ptCount val="1"/>
                <c:pt idx="0">
                  <c:v>Kumulierter realer Netto-Cashflow</c:v>
                </c:pt>
              </c:strCache>
            </c:strRef>
          </c:tx>
          <c:spPr>
            <a:ln w="28080">
              <a:solidFill>
                <a:srgbClr val="9C9C9C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'Realwert-Analyse'!$B$6:$AE$6</c:f>
              <c:strCache>
                <c:ptCount val="30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  <c:pt idx="3">
                  <c:v>Jahr 4</c:v>
                </c:pt>
                <c:pt idx="4">
                  <c:v>Jahr 5</c:v>
                </c:pt>
                <c:pt idx="5">
                  <c:v>Jahr 6</c:v>
                </c:pt>
                <c:pt idx="6">
                  <c:v>Jahr 7</c:v>
                </c:pt>
                <c:pt idx="7">
                  <c:v>Jahr 8</c:v>
                </c:pt>
                <c:pt idx="8">
                  <c:v>Jahr 9</c:v>
                </c:pt>
                <c:pt idx="9">
                  <c:v>Jahr 10</c:v>
                </c:pt>
                <c:pt idx="10">
                  <c:v>Jahr 11</c:v>
                </c:pt>
                <c:pt idx="11">
                  <c:v>Jahr 12</c:v>
                </c:pt>
                <c:pt idx="12">
                  <c:v>Jahr 13</c:v>
                </c:pt>
                <c:pt idx="13">
                  <c:v>Jahr 14</c:v>
                </c:pt>
                <c:pt idx="14">
                  <c:v>Jahr 15</c:v>
                </c:pt>
                <c:pt idx="15">
                  <c:v>Jahr 16</c:v>
                </c:pt>
                <c:pt idx="16">
                  <c:v>Jahr 17</c:v>
                </c:pt>
                <c:pt idx="17">
                  <c:v>Jahr 18</c:v>
                </c:pt>
                <c:pt idx="18">
                  <c:v>Jahr 19</c:v>
                </c:pt>
                <c:pt idx="19">
                  <c:v>Jahr 20</c:v>
                </c:pt>
                <c:pt idx="20">
                  <c:v>Jahr 21</c:v>
                </c:pt>
                <c:pt idx="21">
                  <c:v>Jahr 22</c:v>
                </c:pt>
                <c:pt idx="22">
                  <c:v>Jahr 23</c:v>
                </c:pt>
                <c:pt idx="23">
                  <c:v>Jahr 24</c:v>
                </c:pt>
                <c:pt idx="24">
                  <c:v>Jahr 25</c:v>
                </c:pt>
                <c:pt idx="25">
                  <c:v>Jahr 26</c:v>
                </c:pt>
                <c:pt idx="26">
                  <c:v>Jahr 27</c:v>
                </c:pt>
                <c:pt idx="27">
                  <c:v>Jahr 28</c:v>
                </c:pt>
                <c:pt idx="28">
                  <c:v>Jahr 29</c:v>
                </c:pt>
                <c:pt idx="29">
                  <c:v>Jahr 30</c:v>
                </c:pt>
              </c:strCache>
            </c:strRef>
          </c:cat>
          <c:val>
            <c:numRef>
              <c:f>'Realwert-Analyse'!$B$14:$AE$14</c:f>
              <c:numCache>
                <c:formatCode>#,##0" €"</c:formatCode>
                <c:ptCount val="30"/>
                <c:pt idx="0">
                  <c:v>1571.4163041937152</c:v>
                </c:pt>
                <c:pt idx="1">
                  <c:v>-2882.9271825348205</c:v>
                </c:pt>
                <c:pt idx="2">
                  <c:v>-7221.1591952432655</c:v>
                </c:pt>
                <c:pt idx="3">
                  <c:v>-11447.647048550973</c:v>
                </c:pt>
                <c:pt idx="4">
                  <c:v>-15566.657792864113</c:v>
                </c:pt>
                <c:pt idx="5">
                  <c:v>-19582.360771029747</c:v>
                </c:pt>
                <c:pt idx="6">
                  <c:v>-23498.830113550954</c:v>
                </c:pt>
                <c:pt idx="7">
                  <c:v>-27320.047173872073</c:v>
                </c:pt>
                <c:pt idx="8">
                  <c:v>-31049.902905206476</c:v>
                </c:pt>
                <c:pt idx="9">
                  <c:v>-34692.20018034344</c:v>
                </c:pt>
                <c:pt idx="10">
                  <c:v>-38250.656055835767</c:v>
                </c:pt>
                <c:pt idx="11">
                  <c:v>-41728.903981935706</c:v>
                </c:pt>
                <c:pt idx="12">
                  <c:v>-45130.495959613545</c:v>
                </c:pt>
                <c:pt idx="13">
                  <c:v>-48458.904645960669</c:v>
                </c:pt>
                <c:pt idx="14">
                  <c:v>-51717.525409247442</c:v>
                </c:pt>
                <c:pt idx="15">
                  <c:v>-54909.678334875192</c:v>
                </c:pt>
                <c:pt idx="16">
                  <c:v>-58038.610183431585</c:v>
                </c:pt>
                <c:pt idx="17">
                  <c:v>-61107.496302029293</c:v>
                </c:pt>
                <c:pt idx="18">
                  <c:v>-64119.442490079142</c:v>
                </c:pt>
                <c:pt idx="19">
                  <c:v>-67077.486820620979</c:v>
                </c:pt>
                <c:pt idx="20">
                  <c:v>-69984.601418308288</c:v>
                </c:pt>
                <c:pt idx="21">
                  <c:v>-72843.694195115793</c:v>
                </c:pt>
                <c:pt idx="22">
                  <c:v>-75657.61054481368</c:v>
                </c:pt>
                <c:pt idx="23">
                  <c:v>-78429.134997226181</c:v>
                </c:pt>
                <c:pt idx="24">
                  <c:v>-81160.992833268232</c:v>
                </c:pt>
                <c:pt idx="25">
                  <c:v>-83855.851661729175</c:v>
                </c:pt>
                <c:pt idx="26">
                  <c:v>-86516.322958749442</c:v>
                </c:pt>
                <c:pt idx="27">
                  <c:v>-89144.963570912907</c:v>
                </c:pt>
                <c:pt idx="28">
                  <c:v>-91744.277182855396</c:v>
                </c:pt>
                <c:pt idx="29">
                  <c:v>-94316.71575026786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89-4D3F-82E3-DFBD6D60D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43852"/>
        <c:axId val="91947525"/>
      </c:lineChart>
      <c:catAx>
        <c:axId val="44438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91947525"/>
        <c:crosses val="autoZero"/>
        <c:auto val="1"/>
        <c:lblAlgn val="ctr"/>
        <c:lblOffset val="100"/>
        <c:noMultiLvlLbl val="0"/>
      </c:catAx>
      <c:valAx>
        <c:axId val="91947525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4443852"/>
        <c:crosses val="autoZero"/>
        <c:crossBetween val="between"/>
      </c:valAx>
    </c:plotArea>
    <c:legend>
      <c:legendPos val="b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>
              <a:solidFill>
                <a:srgbClr val="000000"/>
              </a:solidFill>
              <a:uFillTx/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 rot="0"/>
          <a:lstStyle/>
          <a:p>
            <a:pPr>
              <a:defRPr sz="1300" b="0" strike="noStrike">
                <a:uFillTx/>
                <a:latin typeface="Arial"/>
              </a:defRPr>
            </a:pPr>
            <a:r>
              <a:rPr lang="de-DE" sz="1800" b="1" strike="noStrike">
                <a:solidFill>
                  <a:srgbClr val="000000"/>
                </a:solidFill>
                <a:uFillTx/>
                <a:latin typeface="Calibri"/>
              </a:rPr>
              <a:t>Restschuld-Verlauf (30 Jahre)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'Immobilien-Kalkulation'!$A$113</c:f>
              <c:strCache>
                <c:ptCount val="1"/>
                <c:pt idx="0">
                  <c:v>9. Restschuld Jahresende (Monatsplan)</c:v>
                </c:pt>
              </c:strCache>
            </c:strRef>
          </c:tx>
          <c:spPr>
            <a:ln w="28080">
              <a:solidFill>
                <a:srgbClr val="1F4E78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'Immobilien-Kalkulation'!$B$104:$AE$104</c:f>
              <c:strCache>
                <c:ptCount val="30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  <c:pt idx="3">
                  <c:v>Jahr 4</c:v>
                </c:pt>
                <c:pt idx="4">
                  <c:v>Jahr 5</c:v>
                </c:pt>
                <c:pt idx="5">
                  <c:v>Jahr 6</c:v>
                </c:pt>
                <c:pt idx="6">
                  <c:v>Jahr 7</c:v>
                </c:pt>
                <c:pt idx="7">
                  <c:v>Jahr 8</c:v>
                </c:pt>
                <c:pt idx="8">
                  <c:v>Jahr 9</c:v>
                </c:pt>
                <c:pt idx="9">
                  <c:v>Jahr 10</c:v>
                </c:pt>
                <c:pt idx="10">
                  <c:v>Jahr 11</c:v>
                </c:pt>
                <c:pt idx="11">
                  <c:v>Jahr 12</c:v>
                </c:pt>
                <c:pt idx="12">
                  <c:v>Jahr 13</c:v>
                </c:pt>
                <c:pt idx="13">
                  <c:v>Jahr 14</c:v>
                </c:pt>
                <c:pt idx="14">
                  <c:v>Jahr 15</c:v>
                </c:pt>
                <c:pt idx="15">
                  <c:v>Jahr 16</c:v>
                </c:pt>
                <c:pt idx="16">
                  <c:v>Jahr 17</c:v>
                </c:pt>
                <c:pt idx="17">
                  <c:v>Jahr 18</c:v>
                </c:pt>
                <c:pt idx="18">
                  <c:v>Jahr 19</c:v>
                </c:pt>
                <c:pt idx="19">
                  <c:v>Jahr 20</c:v>
                </c:pt>
                <c:pt idx="20">
                  <c:v>Jahr 21</c:v>
                </c:pt>
                <c:pt idx="21">
                  <c:v>Jahr 22</c:v>
                </c:pt>
                <c:pt idx="22">
                  <c:v>Jahr 23</c:v>
                </c:pt>
                <c:pt idx="23">
                  <c:v>Jahr 24</c:v>
                </c:pt>
                <c:pt idx="24">
                  <c:v>Jahr 25</c:v>
                </c:pt>
                <c:pt idx="25">
                  <c:v>Jahr 26</c:v>
                </c:pt>
                <c:pt idx="26">
                  <c:v>Jahr 27</c:v>
                </c:pt>
                <c:pt idx="27">
                  <c:v>Jahr 28</c:v>
                </c:pt>
                <c:pt idx="28">
                  <c:v>Jahr 29</c:v>
                </c:pt>
                <c:pt idx="29">
                  <c:v>Jahr 30</c:v>
                </c:pt>
              </c:strCache>
            </c:strRef>
          </c:cat>
          <c:val>
            <c:numRef>
              <c:f>'Immobilien-Kalkulation'!$B$113:$AE$113</c:f>
              <c:numCache>
                <c:formatCode>#,##0" €"</c:formatCode>
                <c:ptCount val="30"/>
                <c:pt idx="0">
                  <c:v>312333.6328338203</c:v>
                </c:pt>
                <c:pt idx="1">
                  <c:v>306004.90295920556</c:v>
                </c:pt>
                <c:pt idx="2">
                  <c:v>299451.07944693259</c:v>
                </c:pt>
                <c:pt idx="3">
                  <c:v>292664.15640218242</c:v>
                </c:pt>
                <c:pt idx="4">
                  <c:v>285635.84318485169</c:v>
                </c:pt>
                <c:pt idx="5">
                  <c:v>278357.55428203067</c:v>
                </c:pt>
                <c:pt idx="6">
                  <c:v>270820.39882027579</c:v>
                </c:pt>
                <c:pt idx="7">
                  <c:v>263015.16970486619</c:v>
                </c:pt>
                <c:pt idx="8">
                  <c:v>254932.33237277635</c:v>
                </c:pt>
                <c:pt idx="9">
                  <c:v>246562.01314562609</c:v>
                </c:pt>
                <c:pt idx="10">
                  <c:v>237893.98716838105</c:v>
                </c:pt>
                <c:pt idx="11">
                  <c:v>228917.66591906891</c:v>
                </c:pt>
                <c:pt idx="12">
                  <c:v>219622.08427425459</c:v>
                </c:pt>
                <c:pt idx="13">
                  <c:v>209995.88711447373</c:v>
                </c:pt>
                <c:pt idx="14">
                  <c:v>200027.31545326227</c:v>
                </c:pt>
                <c:pt idx="15">
                  <c:v>189704.19207283793</c:v>
                </c:pt>
                <c:pt idx="16">
                  <c:v>179013.90664888662</c:v>
                </c:pt>
                <c:pt idx="17">
                  <c:v>167943.40034628264</c:v>
                </c:pt>
                <c:pt idx="18">
                  <c:v>156479.14986692596</c:v>
                </c:pt>
                <c:pt idx="19">
                  <c:v>144607.15093020906</c:v>
                </c:pt>
                <c:pt idx="20">
                  <c:v>132312.90116593539</c:v>
                </c:pt>
                <c:pt idx="21">
                  <c:v>119581.38239878978</c:v>
                </c:pt>
                <c:pt idx="22">
                  <c:v>106397.04230272236</c:v>
                </c:pt>
                <c:pt idx="23">
                  <c:v>92743.77540283445</c:v>
                </c:pt>
                <c:pt idx="24">
                  <c:v>78604.903401559452</c:v>
                </c:pt>
                <c:pt idx="25">
                  <c:v>63963.154805106002</c:v>
                </c:pt>
                <c:pt idx="26">
                  <c:v>48800.643825275765</c:v>
                </c:pt>
                <c:pt idx="27">
                  <c:v>33098.848530883144</c:v>
                </c:pt>
                <c:pt idx="28">
                  <c:v>16838.588222087601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0D-4EBC-AE61-1B0A0D3BB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7268"/>
        <c:axId val="48998973"/>
      </c:lineChart>
      <c:catAx>
        <c:axId val="38272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48998973"/>
        <c:crosses val="autoZero"/>
        <c:auto val="1"/>
        <c:lblAlgn val="ctr"/>
        <c:lblOffset val="100"/>
        <c:noMultiLvlLbl val="0"/>
      </c:catAx>
      <c:valAx>
        <c:axId val="48998973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382726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 rot="0"/>
          <a:lstStyle/>
          <a:p>
            <a:pPr>
              <a:defRPr sz="1300" b="0" strike="noStrike">
                <a:uFillTx/>
                <a:latin typeface="Arial"/>
              </a:defRPr>
            </a:pPr>
            <a:r>
              <a:rPr lang="de-DE" sz="1800" b="1" strike="noStrike">
                <a:solidFill>
                  <a:srgbClr val="000000"/>
                </a:solidFill>
                <a:uFillTx/>
                <a:latin typeface="Calibri"/>
              </a:rPr>
              <a:t>Kumulierter Cashflow: nominal vs. real (30 Jahre)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'Realwert-Analyse'!$A$15</c:f>
              <c:strCache>
                <c:ptCount val="1"/>
                <c:pt idx="0">
                  <c:v>Kumulierter nominaler Netto-Cashflow</c:v>
                </c:pt>
              </c:strCache>
            </c:strRef>
          </c:tx>
          <c:spPr>
            <a:ln w="28080">
              <a:solidFill>
                <a:srgbClr val="1F4E78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'Realwert-Analyse'!$B$6:$AE$6</c:f>
              <c:strCache>
                <c:ptCount val="30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  <c:pt idx="3">
                  <c:v>Jahr 4</c:v>
                </c:pt>
                <c:pt idx="4">
                  <c:v>Jahr 5</c:v>
                </c:pt>
                <c:pt idx="5">
                  <c:v>Jahr 6</c:v>
                </c:pt>
                <c:pt idx="6">
                  <c:v>Jahr 7</c:v>
                </c:pt>
                <c:pt idx="7">
                  <c:v>Jahr 8</c:v>
                </c:pt>
                <c:pt idx="8">
                  <c:v>Jahr 9</c:v>
                </c:pt>
                <c:pt idx="9">
                  <c:v>Jahr 10</c:v>
                </c:pt>
                <c:pt idx="10">
                  <c:v>Jahr 11</c:v>
                </c:pt>
                <c:pt idx="11">
                  <c:v>Jahr 12</c:v>
                </c:pt>
                <c:pt idx="12">
                  <c:v>Jahr 13</c:v>
                </c:pt>
                <c:pt idx="13">
                  <c:v>Jahr 14</c:v>
                </c:pt>
                <c:pt idx="14">
                  <c:v>Jahr 15</c:v>
                </c:pt>
                <c:pt idx="15">
                  <c:v>Jahr 16</c:v>
                </c:pt>
                <c:pt idx="16">
                  <c:v>Jahr 17</c:v>
                </c:pt>
                <c:pt idx="17">
                  <c:v>Jahr 18</c:v>
                </c:pt>
                <c:pt idx="18">
                  <c:v>Jahr 19</c:v>
                </c:pt>
                <c:pt idx="19">
                  <c:v>Jahr 20</c:v>
                </c:pt>
                <c:pt idx="20">
                  <c:v>Jahr 21</c:v>
                </c:pt>
                <c:pt idx="21">
                  <c:v>Jahr 22</c:v>
                </c:pt>
                <c:pt idx="22">
                  <c:v>Jahr 23</c:v>
                </c:pt>
                <c:pt idx="23">
                  <c:v>Jahr 24</c:v>
                </c:pt>
                <c:pt idx="24">
                  <c:v>Jahr 25</c:v>
                </c:pt>
                <c:pt idx="25">
                  <c:v>Jahr 26</c:v>
                </c:pt>
                <c:pt idx="26">
                  <c:v>Jahr 27</c:v>
                </c:pt>
                <c:pt idx="27">
                  <c:v>Jahr 28</c:v>
                </c:pt>
                <c:pt idx="28">
                  <c:v>Jahr 29</c:v>
                </c:pt>
                <c:pt idx="29">
                  <c:v>Jahr 30</c:v>
                </c:pt>
              </c:strCache>
            </c:strRef>
          </c:cat>
          <c:val>
            <c:numRef>
              <c:f>'Realwert-Analyse'!$B$15:$AE$15</c:f>
              <c:numCache>
                <c:formatCode>#,##0" €"</c:formatCode>
                <c:ptCount val="30"/>
                <c:pt idx="0">
                  <c:v>1610.7017117985579</c:v>
                </c:pt>
                <c:pt idx="1">
                  <c:v>-3069.1429139456104</c:v>
                </c:pt>
                <c:pt idx="2">
                  <c:v>-7740.9442975062148</c:v>
                </c:pt>
                <c:pt idx="3">
                  <c:v>-12406.196072057246</c:v>
                </c:pt>
                <c:pt idx="4">
                  <c:v>-17066.478657157859</c:v>
                </c:pt>
                <c:pt idx="5">
                  <c:v>-21723.462970434448</c:v>
                </c:pt>
                <c:pt idx="6">
                  <c:v>-26378.914282567719</c:v>
                </c:pt>
                <c:pt idx="7">
                  <c:v>-31034.6962208773</c:v>
                </c:pt>
                <c:pt idx="8">
                  <c:v>-35692.774926987899</c:v>
                </c:pt>
                <c:pt idx="9">
                  <c:v>-40355.223374259229</c:v>
                </c:pt>
                <c:pt idx="10">
                  <c:v>-45024.225850867231</c:v>
                </c:pt>
                <c:pt idx="11">
                  <c:v>-49702.082614636907</c:v>
                </c:pt>
                <c:pt idx="12">
                  <c:v>-54391.214725947313</c:v>
                </c:pt>
                <c:pt idx="13">
                  <c:v>-59094.169065257483</c:v>
                </c:pt>
                <c:pt idx="14">
                  <c:v>-63813.623542038389</c:v>
                </c:pt>
                <c:pt idx="15">
                  <c:v>-68552.392502140836</c:v>
                </c:pt>
                <c:pt idx="16">
                  <c:v>-73313.432340882791</c:v>
                </c:pt>
                <c:pt idx="17">
                  <c:v>-78099.847329402182</c:v>
                </c:pt>
                <c:pt idx="18">
                  <c:v>-82914.895662093375</c:v>
                </c:pt>
                <c:pt idx="19">
                  <c:v>-87761.995733227042</c:v>
                </c:pt>
                <c:pt idx="20">
                  <c:v>-92644.732651145125</c:v>
                </c:pt>
                <c:pt idx="21">
                  <c:v>-97566.864998724792</c:v>
                </c:pt>
                <c:pt idx="22">
                  <c:v>-102532.33184911823</c:v>
                </c:pt>
                <c:pt idx="23">
                  <c:v>-107545.2600460994</c:v>
                </c:pt>
                <c:pt idx="24">
                  <c:v>-112609.97175868468</c:v>
                </c:pt>
                <c:pt idx="25">
                  <c:v>-117730.9923200421</c:v>
                </c:pt>
                <c:pt idx="26">
                  <c:v>-122913.05836106403</c:v>
                </c:pt>
                <c:pt idx="27">
                  <c:v>-128161.12624935128</c:v>
                </c:pt>
                <c:pt idx="28">
                  <c:v>-133480.38084474302</c:v>
                </c:pt>
                <c:pt idx="29">
                  <c:v>-138876.24458292703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9E-4912-9A8F-ACDFF76D5588}"/>
            </c:ext>
          </c:extLst>
        </c:ser>
        <c:ser>
          <c:idx val="1"/>
          <c:order val="1"/>
          <c:tx>
            <c:strRef>
              <c:f>'Realwert-Analyse'!$A$14</c:f>
              <c:strCache>
                <c:ptCount val="1"/>
                <c:pt idx="0">
                  <c:v>Kumulierter realer Netto-Cashflow</c:v>
                </c:pt>
              </c:strCache>
            </c:strRef>
          </c:tx>
          <c:spPr>
            <a:ln w="28080">
              <a:solidFill>
                <a:srgbClr val="9C9C9C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'Realwert-Analyse'!$B$6:$AE$6</c:f>
              <c:strCache>
                <c:ptCount val="30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  <c:pt idx="3">
                  <c:v>Jahr 4</c:v>
                </c:pt>
                <c:pt idx="4">
                  <c:v>Jahr 5</c:v>
                </c:pt>
                <c:pt idx="5">
                  <c:v>Jahr 6</c:v>
                </c:pt>
                <c:pt idx="6">
                  <c:v>Jahr 7</c:v>
                </c:pt>
                <c:pt idx="7">
                  <c:v>Jahr 8</c:v>
                </c:pt>
                <c:pt idx="8">
                  <c:v>Jahr 9</c:v>
                </c:pt>
                <c:pt idx="9">
                  <c:v>Jahr 10</c:v>
                </c:pt>
                <c:pt idx="10">
                  <c:v>Jahr 11</c:v>
                </c:pt>
                <c:pt idx="11">
                  <c:v>Jahr 12</c:v>
                </c:pt>
                <c:pt idx="12">
                  <c:v>Jahr 13</c:v>
                </c:pt>
                <c:pt idx="13">
                  <c:v>Jahr 14</c:v>
                </c:pt>
                <c:pt idx="14">
                  <c:v>Jahr 15</c:v>
                </c:pt>
                <c:pt idx="15">
                  <c:v>Jahr 16</c:v>
                </c:pt>
                <c:pt idx="16">
                  <c:v>Jahr 17</c:v>
                </c:pt>
                <c:pt idx="17">
                  <c:v>Jahr 18</c:v>
                </c:pt>
                <c:pt idx="18">
                  <c:v>Jahr 19</c:v>
                </c:pt>
                <c:pt idx="19">
                  <c:v>Jahr 20</c:v>
                </c:pt>
                <c:pt idx="20">
                  <c:v>Jahr 21</c:v>
                </c:pt>
                <c:pt idx="21">
                  <c:v>Jahr 22</c:v>
                </c:pt>
                <c:pt idx="22">
                  <c:v>Jahr 23</c:v>
                </c:pt>
                <c:pt idx="23">
                  <c:v>Jahr 24</c:v>
                </c:pt>
                <c:pt idx="24">
                  <c:v>Jahr 25</c:v>
                </c:pt>
                <c:pt idx="25">
                  <c:v>Jahr 26</c:v>
                </c:pt>
                <c:pt idx="26">
                  <c:v>Jahr 27</c:v>
                </c:pt>
                <c:pt idx="27">
                  <c:v>Jahr 28</c:v>
                </c:pt>
                <c:pt idx="28">
                  <c:v>Jahr 29</c:v>
                </c:pt>
                <c:pt idx="29">
                  <c:v>Jahr 30</c:v>
                </c:pt>
              </c:strCache>
            </c:strRef>
          </c:cat>
          <c:val>
            <c:numRef>
              <c:f>'Realwert-Analyse'!$B$14:$AE$14</c:f>
              <c:numCache>
                <c:formatCode>#,##0" €"</c:formatCode>
                <c:ptCount val="30"/>
                <c:pt idx="0">
                  <c:v>1571.4163041937152</c:v>
                </c:pt>
                <c:pt idx="1">
                  <c:v>-2882.9271825348205</c:v>
                </c:pt>
                <c:pt idx="2">
                  <c:v>-7221.1591952432655</c:v>
                </c:pt>
                <c:pt idx="3">
                  <c:v>-11447.647048550973</c:v>
                </c:pt>
                <c:pt idx="4">
                  <c:v>-15566.657792864113</c:v>
                </c:pt>
                <c:pt idx="5">
                  <c:v>-19582.360771029747</c:v>
                </c:pt>
                <c:pt idx="6">
                  <c:v>-23498.830113550954</c:v>
                </c:pt>
                <c:pt idx="7">
                  <c:v>-27320.047173872073</c:v>
                </c:pt>
                <c:pt idx="8">
                  <c:v>-31049.902905206476</c:v>
                </c:pt>
                <c:pt idx="9">
                  <c:v>-34692.20018034344</c:v>
                </c:pt>
                <c:pt idx="10">
                  <c:v>-38250.656055835767</c:v>
                </c:pt>
                <c:pt idx="11">
                  <c:v>-41728.903981935706</c:v>
                </c:pt>
                <c:pt idx="12">
                  <c:v>-45130.495959613545</c:v>
                </c:pt>
                <c:pt idx="13">
                  <c:v>-48458.904645960669</c:v>
                </c:pt>
                <c:pt idx="14">
                  <c:v>-51717.525409247442</c:v>
                </c:pt>
                <c:pt idx="15">
                  <c:v>-54909.678334875192</c:v>
                </c:pt>
                <c:pt idx="16">
                  <c:v>-58038.610183431585</c:v>
                </c:pt>
                <c:pt idx="17">
                  <c:v>-61107.496302029293</c:v>
                </c:pt>
                <c:pt idx="18">
                  <c:v>-64119.442490079142</c:v>
                </c:pt>
                <c:pt idx="19">
                  <c:v>-67077.486820620979</c:v>
                </c:pt>
                <c:pt idx="20">
                  <c:v>-69984.601418308288</c:v>
                </c:pt>
                <c:pt idx="21">
                  <c:v>-72843.694195115793</c:v>
                </c:pt>
                <c:pt idx="22">
                  <c:v>-75657.61054481368</c:v>
                </c:pt>
                <c:pt idx="23">
                  <c:v>-78429.134997226181</c:v>
                </c:pt>
                <c:pt idx="24">
                  <c:v>-81160.992833268232</c:v>
                </c:pt>
                <c:pt idx="25">
                  <c:v>-83855.851661729175</c:v>
                </c:pt>
                <c:pt idx="26">
                  <c:v>-86516.322958749442</c:v>
                </c:pt>
                <c:pt idx="27">
                  <c:v>-89144.963570912907</c:v>
                </c:pt>
                <c:pt idx="28">
                  <c:v>-91744.277182855396</c:v>
                </c:pt>
                <c:pt idx="29">
                  <c:v>-94316.71575026786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9E-4912-9A8F-ACDFF76D5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49922"/>
        <c:axId val="26091440"/>
      </c:lineChart>
      <c:catAx>
        <c:axId val="52499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26091440"/>
        <c:crosses val="autoZero"/>
        <c:auto val="1"/>
        <c:lblAlgn val="ctr"/>
        <c:lblOffset val="100"/>
        <c:noMultiLvlLbl val="0"/>
      </c:catAx>
      <c:valAx>
        <c:axId val="2609144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5249922"/>
        <c:crosses val="autoZero"/>
        <c:crossBetween val="between"/>
      </c:valAx>
    </c:plotArea>
    <c:legend>
      <c:legendPos val="b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>
              <a:solidFill>
                <a:srgbClr val="000000"/>
              </a:solidFill>
              <a:uFillTx/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5</xdr:col>
      <xdr:colOff>135000</xdr:colOff>
      <xdr:row>37</xdr:row>
      <xdr:rowOff>21240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22</xdr:row>
      <xdr:rowOff>0</xdr:rowOff>
    </xdr:from>
    <xdr:to>
      <xdr:col>20</xdr:col>
      <xdr:colOff>363600</xdr:colOff>
      <xdr:row>37</xdr:row>
      <xdr:rowOff>21240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40</xdr:row>
      <xdr:rowOff>0</xdr:rowOff>
    </xdr:from>
    <xdr:to>
      <xdr:col>5</xdr:col>
      <xdr:colOff>135000</xdr:colOff>
      <xdr:row>55</xdr:row>
      <xdr:rowOff>21240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6</xdr:col>
      <xdr:colOff>214695</xdr:colOff>
      <xdr:row>41</xdr:row>
      <xdr:rowOff>21240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A6099"/>
  </sheetPr>
  <dimension ref="A1:H65"/>
  <sheetViews>
    <sheetView showGridLines="0" tabSelected="1" zoomScale="80" zoomScaleNormal="80" workbookViewId="0">
      <pane ySplit="4" topLeftCell="A5" activePane="bottomLeft" state="frozen"/>
      <selection pane="bottomLeft" activeCell="I9" sqref="I9"/>
    </sheetView>
  </sheetViews>
  <sheetFormatPr baseColWidth="10" defaultColWidth="8.7109375" defaultRowHeight="15" x14ac:dyDescent="0.25"/>
  <cols>
    <col min="1" max="1" width="30" style="97" customWidth="1"/>
    <col min="2" max="8" width="15" style="97" customWidth="1"/>
  </cols>
  <sheetData>
    <row r="1" spans="1:8" ht="33.75" customHeight="1" x14ac:dyDescent="0.25">
      <c r="A1" s="108" t="s">
        <v>0</v>
      </c>
      <c r="B1" s="106"/>
      <c r="C1" s="106"/>
      <c r="D1" s="106"/>
      <c r="E1" s="106"/>
      <c r="F1" s="106"/>
      <c r="G1" s="106"/>
      <c r="H1" s="106"/>
    </row>
    <row r="2" spans="1:8" ht="15" customHeight="1" x14ac:dyDescent="0.25">
      <c r="A2" s="107" t="s">
        <v>1</v>
      </c>
      <c r="B2" s="106"/>
      <c r="C2" s="106"/>
      <c r="D2" s="106"/>
      <c r="E2" s="106"/>
      <c r="F2" s="106"/>
      <c r="G2" s="106"/>
      <c r="H2" s="106"/>
    </row>
    <row r="3" spans="1:8" ht="15" customHeight="1" x14ac:dyDescent="0.25"/>
    <row r="4" spans="1:8" ht="15" customHeight="1" x14ac:dyDescent="0.25">
      <c r="A4" s="105" t="s">
        <v>2</v>
      </c>
      <c r="B4" s="106"/>
      <c r="C4" s="106"/>
      <c r="D4" s="106"/>
      <c r="E4" s="106"/>
      <c r="F4" s="106"/>
      <c r="G4" s="106"/>
      <c r="H4" s="106"/>
    </row>
    <row r="5" spans="1:8" ht="51" customHeight="1" x14ac:dyDescent="0.25">
      <c r="A5" s="103" t="s">
        <v>3</v>
      </c>
      <c r="B5" s="1" t="s">
        <v>4</v>
      </c>
      <c r="C5" s="1" t="s">
        <v>5</v>
      </c>
      <c r="D5" s="1" t="s">
        <v>6</v>
      </c>
      <c r="E5" s="1" t="s">
        <v>276</v>
      </c>
      <c r="F5" s="1" t="s">
        <v>7</v>
      </c>
      <c r="G5" s="1" t="s">
        <v>8</v>
      </c>
      <c r="H5" s="1" t="s">
        <v>9</v>
      </c>
    </row>
    <row r="6" spans="1:8" ht="24" customHeight="1" x14ac:dyDescent="0.25">
      <c r="A6" s="104"/>
      <c r="B6" s="19">
        <f>'Immobilien-Kalkulation'!B18</f>
        <v>3.4285714285714287E-2</v>
      </c>
      <c r="C6" s="19">
        <f>'Immobilien-Kalkulation'!B19</f>
        <v>2.334073711553665E-2</v>
      </c>
      <c r="D6" s="19">
        <f>'Immobilien-Kalkulation'!B20</f>
        <v>-4.3365250225429294E-2</v>
      </c>
      <c r="E6" s="47">
        <f>'Immobilien-Kalkulation'!B22</f>
        <v>-3469.2200180343439</v>
      </c>
      <c r="F6" s="45">
        <f>'Immobilien-Kalkulation'!B23</f>
        <v>763.85442883553844</v>
      </c>
      <c r="G6" s="19">
        <f>'Immobilien-Kalkulation'!B24</f>
        <v>5.6579188839004591E-2</v>
      </c>
      <c r="H6" s="19">
        <f>'Immobilien-Kalkulation'!B25</f>
        <v>1.7064847584561837E-2</v>
      </c>
    </row>
    <row r="7" spans="1:8" ht="41.25" customHeight="1" x14ac:dyDescent="0.25">
      <c r="A7" s="103" t="s">
        <v>10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1" t="s">
        <v>16</v>
      </c>
    </row>
    <row r="8" spans="1:8" ht="24" customHeight="1" x14ac:dyDescent="0.25">
      <c r="A8" s="104"/>
      <c r="B8" s="39">
        <f>'Immobilien-Kalkulation'!B21</f>
        <v>29.166666666666668</v>
      </c>
      <c r="C8" s="46">
        <f>'Immobilien-Kalkulation'!B71</f>
        <v>0.90984285714285718</v>
      </c>
      <c r="D8" s="47">
        <f>'Immobilien-Kalkulation'!B50</f>
        <v>398445</v>
      </c>
      <c r="E8" s="47">
        <f>'Immobilien-Kalkulation'!B64</f>
        <v>318445</v>
      </c>
      <c r="F8" s="47">
        <f>'Exit-Analyse'!B18</f>
        <v>179066.09779966265</v>
      </c>
      <c r="G8" s="47">
        <f>'Exit-Analyse'!B21</f>
        <v>58710.874425403425</v>
      </c>
    </row>
    <row r="9" spans="1:8" ht="15" customHeight="1" x14ac:dyDescent="0.25"/>
    <row r="10" spans="1:8" ht="15" customHeight="1" x14ac:dyDescent="0.25">
      <c r="A10" s="105" t="s">
        <v>17</v>
      </c>
      <c r="B10" s="106"/>
      <c r="C10" s="106"/>
      <c r="D10" s="106"/>
    </row>
    <row r="11" spans="1:8" ht="15" customHeight="1" x14ac:dyDescent="0.25">
      <c r="A11" s="2" t="s">
        <v>18</v>
      </c>
      <c r="B11" s="3" t="s">
        <v>19</v>
      </c>
      <c r="C11" s="3" t="s">
        <v>20</v>
      </c>
      <c r="D11" s="3" t="s">
        <v>21</v>
      </c>
    </row>
    <row r="12" spans="1:8" ht="15" customHeight="1" x14ac:dyDescent="0.25">
      <c r="A12" s="4" t="s">
        <v>22</v>
      </c>
      <c r="B12" s="48">
        <f>IFERROR(Szenarien!B84/'Immobilien-Kalkulation'!$B$11,"—")</f>
        <v>-7490.3351171132745</v>
      </c>
      <c r="C12" s="48">
        <f>IFERROR('Realwert-Analyse'!B19/'Immobilien-Kalkulation'!$B$11,"—")</f>
        <v>-3469.2200180343439</v>
      </c>
      <c r="D12" s="48">
        <f>IFERROR(Szenarien!D84/'Immobilien-Kalkulation'!$B$11,"—")</f>
        <v>-1620.2323779583976</v>
      </c>
    </row>
    <row r="13" spans="1:8" ht="15" customHeight="1" x14ac:dyDescent="0.25">
      <c r="A13" s="4" t="s">
        <v>16</v>
      </c>
      <c r="B13" s="48">
        <f>Szenarien!B49</f>
        <v>13740.149998361027</v>
      </c>
      <c r="C13" s="48">
        <f>Szenarien!C49</f>
        <v>58710.874425403425</v>
      </c>
      <c r="D13" s="48">
        <f>Szenarien!D49</f>
        <v>83247.945425615413</v>
      </c>
    </row>
    <row r="14" spans="1:8" ht="15" customHeight="1" x14ac:dyDescent="0.25">
      <c r="A14" s="4" t="s">
        <v>6</v>
      </c>
      <c r="B14" s="49">
        <f>IFERROR(Szenarien!B84/'Immobilien-Kalkulation'!$B$63/'Immobilien-Kalkulation'!$B$11,"—")</f>
        <v>-9.3629188963915935E-2</v>
      </c>
      <c r="C14" s="49">
        <f>IFERROR('Realwert-Analyse'!B19/'Immobilien-Kalkulation'!$B$63/'Immobilien-Kalkulation'!$B$11,"—")</f>
        <v>-4.3365250225429294E-2</v>
      </c>
      <c r="D14" s="49">
        <f>IFERROR(Szenarien!D84/'Immobilien-Kalkulation'!$B$63/'Immobilien-Kalkulation'!$B$11,"—")</f>
        <v>-2.0252904724479971E-2</v>
      </c>
    </row>
    <row r="15" spans="1:8" ht="15" customHeight="1" x14ac:dyDescent="0.25">
      <c r="A15" t="s">
        <v>23</v>
      </c>
      <c r="B15" s="54">
        <f>Szenarien!B43</f>
        <v>-1574.0165329146384</v>
      </c>
      <c r="C15" s="54">
        <f>Szenarien!C43</f>
        <v>1610.7017117985579</v>
      </c>
      <c r="D15" s="54">
        <f>Szenarien!D43</f>
        <v>3792.0189639629443</v>
      </c>
    </row>
    <row r="16" spans="1:8" ht="15" customHeight="1" x14ac:dyDescent="0.25">
      <c r="A16" s="105" t="s">
        <v>24</v>
      </c>
      <c r="B16" s="106"/>
      <c r="C16" s="106"/>
      <c r="D16" s="106"/>
      <c r="E16" s="106"/>
      <c r="F16" s="106"/>
      <c r="G16" s="106"/>
      <c r="H16" s="106"/>
    </row>
    <row r="17" spans="1:8" ht="15" customHeight="1" x14ac:dyDescent="0.25">
      <c r="A17" s="2" t="s">
        <v>25</v>
      </c>
      <c r="B17" s="50">
        <f>Zinstest!B6</f>
        <v>5.0000000000000044E-3</v>
      </c>
      <c r="C17" s="50">
        <f>Zinstest!C6</f>
        <v>1.5000000000000003E-2</v>
      </c>
      <c r="D17" s="50">
        <f>Zinstest!D6</f>
        <v>2.5000000000000001E-2</v>
      </c>
      <c r="E17" s="50">
        <f>Zinstest!E6</f>
        <v>3.5000000000000003E-2</v>
      </c>
      <c r="F17" s="50">
        <f>Zinstest!F6</f>
        <v>4.5000000000000005E-2</v>
      </c>
      <c r="G17" s="50">
        <f>Zinstest!G6</f>
        <v>5.5000000000000007E-2</v>
      </c>
      <c r="H17" s="50">
        <f>Zinstest!H6</f>
        <v>6.5000000000000002E-2</v>
      </c>
    </row>
    <row r="18" spans="1:8" ht="15" customHeight="1" x14ac:dyDescent="0.25">
      <c r="A18" s="5" t="s">
        <v>26</v>
      </c>
      <c r="B18" s="51">
        <f>Zinstest!B9</f>
        <v>3356.2012242128403</v>
      </c>
      <c r="C18" s="51">
        <f>Zinstest!C9</f>
        <v>2923.5970366238789</v>
      </c>
      <c r="D18" s="51">
        <f>Zinstest!D9</f>
        <v>2340.1692728007038</v>
      </c>
      <c r="E18" s="51">
        <f>Zinstest!E9</f>
        <v>1610.7017117985597</v>
      </c>
      <c r="F18" s="51">
        <f>Zinstest!F9</f>
        <v>742.3016271692286</v>
      </c>
      <c r="G18" s="51">
        <f>Zinstest!G9</f>
        <v>-256.03636723504133</v>
      </c>
      <c r="H18" s="51">
        <f>Zinstest!H9</f>
        <v>-1373.9347264331354</v>
      </c>
    </row>
    <row r="19" spans="1:8" ht="15" customHeight="1" x14ac:dyDescent="0.25">
      <c r="A19" s="5" t="s">
        <v>27</v>
      </c>
      <c r="B19" s="52">
        <f>Zinstest!B7</f>
        <v>952.75402631143288</v>
      </c>
      <c r="C19" s="52">
        <f>Zinstest!C7</f>
        <v>1099.01805419179</v>
      </c>
      <c r="D19" s="52">
        <f>Zinstest!D7</f>
        <v>1258.2427462401265</v>
      </c>
      <c r="E19" s="52">
        <f>Zinstest!E7</f>
        <v>1429.9603560928113</v>
      </c>
      <c r="F19" s="52">
        <f>Zinstest!F7</f>
        <v>1613.5140348750258</v>
      </c>
      <c r="G19" s="52">
        <f>Zinstest!G7</f>
        <v>1808.0956853394637</v>
      </c>
      <c r="H19" s="52">
        <f>Zinstest!H7</f>
        <v>2012.7890174121685</v>
      </c>
    </row>
    <row r="20" spans="1:8" ht="15" customHeight="1" x14ac:dyDescent="0.25">
      <c r="A20" s="5" t="s">
        <v>7</v>
      </c>
      <c r="B20" s="52">
        <f>Zinstest!B11</f>
        <v>507.94610247876523</v>
      </c>
      <c r="C20" s="52">
        <f>Zinstest!C11</f>
        <v>571.37036174292166</v>
      </c>
      <c r="D20" s="52">
        <f>Zinstest!D11</f>
        <v>656.90692106487427</v>
      </c>
      <c r="E20" s="52">
        <f>Zinstest!E11</f>
        <v>763.85442883553822</v>
      </c>
      <c r="F20" s="52">
        <f>Zinstest!F11</f>
        <v>891.17088506198286</v>
      </c>
      <c r="G20" s="52">
        <f>Zinstest!G11</f>
        <v>1037.5375860947461</v>
      </c>
      <c r="H20" s="52">
        <f>Zinstest!H11</f>
        <v>1201.4330762422494</v>
      </c>
    </row>
    <row r="21" spans="1:8" ht="15" customHeight="1" x14ac:dyDescent="0.25">
      <c r="A21" s="40"/>
    </row>
    <row r="22" spans="1:8" ht="15" customHeight="1" x14ac:dyDescent="0.25"/>
    <row r="23" spans="1:8" ht="15" customHeight="1" x14ac:dyDescent="0.25"/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spans="2:2" ht="15" customHeight="1" x14ac:dyDescent="0.25"/>
    <row r="50" spans="2:2" ht="15" customHeight="1" x14ac:dyDescent="0.25"/>
    <row r="51" spans="2:2" ht="15" customHeight="1" x14ac:dyDescent="0.25"/>
    <row r="52" spans="2:2" ht="15" customHeight="1" x14ac:dyDescent="0.25"/>
    <row r="53" spans="2:2" ht="15" customHeight="1" x14ac:dyDescent="0.25"/>
    <row r="54" spans="2:2" ht="15" customHeight="1" x14ac:dyDescent="0.25"/>
    <row r="55" spans="2:2" ht="15" customHeight="1" x14ac:dyDescent="0.25"/>
    <row r="56" spans="2:2" ht="15" customHeight="1" x14ac:dyDescent="0.25"/>
    <row r="57" spans="2:2" ht="15" customHeight="1" x14ac:dyDescent="0.25">
      <c r="B57" s="53"/>
    </row>
    <row r="58" spans="2:2" ht="15" customHeight="1" x14ac:dyDescent="0.25">
      <c r="B58" s="53"/>
    </row>
    <row r="59" spans="2:2" ht="15" customHeight="1" x14ac:dyDescent="0.25">
      <c r="B59" s="53"/>
    </row>
    <row r="60" spans="2:2" x14ac:dyDescent="0.25">
      <c r="B60" s="53"/>
    </row>
    <row r="61" spans="2:2" x14ac:dyDescent="0.25">
      <c r="B61" s="53"/>
    </row>
    <row r="62" spans="2:2" x14ac:dyDescent="0.25">
      <c r="B62" s="53"/>
    </row>
    <row r="63" spans="2:2" x14ac:dyDescent="0.25">
      <c r="B63" s="53"/>
    </row>
    <row r="64" spans="2:2" x14ac:dyDescent="0.25">
      <c r="B64" s="54"/>
    </row>
    <row r="65" spans="2:2" x14ac:dyDescent="0.25">
      <c r="B65" s="54"/>
    </row>
  </sheetData>
  <mergeCells count="7">
    <mergeCell ref="A1:H1"/>
    <mergeCell ref="A10:D10"/>
    <mergeCell ref="A5:A6"/>
    <mergeCell ref="A4:H4"/>
    <mergeCell ref="A2:H2"/>
    <mergeCell ref="A16:H16"/>
    <mergeCell ref="A7:A8"/>
  </mergeCells>
  <conditionalFormatting sqref="B12:D12">
    <cfRule type="cellIs" dxfId="23" priority="7" operator="lessThan">
      <formula>0</formula>
    </cfRule>
  </conditionalFormatting>
  <conditionalFormatting sqref="B14:D15">
    <cfRule type="cellIs" dxfId="22" priority="10" operator="lessThan">
      <formula>0</formula>
    </cfRule>
  </conditionalFormatting>
  <conditionalFormatting sqref="B6:E6">
    <cfRule type="cellIs" dxfId="21" priority="1" operator="lessThan">
      <formula>0</formula>
    </cfRule>
  </conditionalFormatting>
  <conditionalFormatting sqref="G8">
    <cfRule type="cellIs" dxfId="20" priority="16" operator="lessThan">
      <formula>0</formula>
    </cfRule>
  </conditionalFormatting>
  <conditionalFormatting sqref="G6:H6">
    <cfRule type="cellIs" dxfId="19" priority="5" operator="lessThan">
      <formula>0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4C7DC"/>
  </sheetPr>
  <dimension ref="A1:AE128"/>
  <sheetViews>
    <sheetView showGridLines="0" zoomScale="80" zoomScaleNormal="80" workbookViewId="0">
      <pane ySplit="3" topLeftCell="A4" activePane="bottomLeft" state="frozen"/>
      <selection pane="bottomLeft" activeCell="E5" sqref="E5"/>
    </sheetView>
  </sheetViews>
  <sheetFormatPr baseColWidth="10" defaultColWidth="8.7109375" defaultRowHeight="15" x14ac:dyDescent="0.25"/>
  <cols>
    <col min="1" max="1" width="46" style="97" customWidth="1"/>
    <col min="2" max="2" width="14" style="97" customWidth="1"/>
    <col min="3" max="6" width="16.42578125" style="97" customWidth="1"/>
    <col min="7" max="31" width="14" style="97" customWidth="1"/>
  </cols>
  <sheetData>
    <row r="1" spans="1:31" ht="39.75" customHeight="1" x14ac:dyDescent="0.25">
      <c r="A1" s="108" t="s">
        <v>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</row>
    <row r="2" spans="1:31" ht="15" customHeight="1" x14ac:dyDescent="0.25">
      <c r="A2" s="6" t="s">
        <v>29</v>
      </c>
      <c r="B2" s="7"/>
      <c r="C2" s="6"/>
      <c r="D2" s="6"/>
      <c r="E2" s="6"/>
      <c r="F2" s="6"/>
      <c r="G2" s="6"/>
      <c r="H2" s="6"/>
    </row>
    <row r="3" spans="1:31" ht="15" customHeight="1" x14ac:dyDescent="0.25"/>
    <row r="4" spans="1:31" ht="15" customHeight="1" x14ac:dyDescent="0.25">
      <c r="A4" s="105" t="s">
        <v>30</v>
      </c>
      <c r="B4" s="106"/>
      <c r="C4" s="106"/>
      <c r="D4" s="106"/>
      <c r="E4" s="106"/>
      <c r="F4" s="106"/>
    </row>
    <row r="5" spans="1:31" ht="25.5" customHeight="1" x14ac:dyDescent="0.25">
      <c r="A5" s="103" t="s">
        <v>3</v>
      </c>
      <c r="B5" s="1" t="s">
        <v>4</v>
      </c>
      <c r="C5" s="1" t="s">
        <v>5</v>
      </c>
      <c r="D5" s="1" t="s">
        <v>6</v>
      </c>
      <c r="E5" s="1" t="s">
        <v>276</v>
      </c>
      <c r="F5" s="1" t="s">
        <v>7</v>
      </c>
      <c r="G5" s="1" t="s">
        <v>8</v>
      </c>
      <c r="H5" s="1" t="s">
        <v>9</v>
      </c>
    </row>
    <row r="6" spans="1:31" ht="21.75" customHeight="1" x14ac:dyDescent="0.25">
      <c r="A6" s="104"/>
      <c r="B6" s="55">
        <f>B18</f>
        <v>3.4285714285714287E-2</v>
      </c>
      <c r="C6" s="55">
        <f>B19</f>
        <v>2.334073711553665E-2</v>
      </c>
      <c r="D6" s="20">
        <f>B20</f>
        <v>-4.3365250225429294E-2</v>
      </c>
      <c r="E6" s="59">
        <f>B22</f>
        <v>-3469.2200180343439</v>
      </c>
      <c r="F6" s="56">
        <f>B23</f>
        <v>763.85442883553844</v>
      </c>
      <c r="G6" s="20">
        <f>B24</f>
        <v>5.6579188839004591E-2</v>
      </c>
      <c r="H6" s="20">
        <f>B25</f>
        <v>1.7064847584561837E-2</v>
      </c>
    </row>
    <row r="7" spans="1:31" ht="41.25" customHeight="1" x14ac:dyDescent="0.25">
      <c r="A7" s="103" t="s">
        <v>10</v>
      </c>
      <c r="B7" s="1" t="s">
        <v>11</v>
      </c>
      <c r="C7" s="1" t="s">
        <v>12</v>
      </c>
      <c r="D7" s="1" t="s">
        <v>31</v>
      </c>
      <c r="E7" s="1" t="s">
        <v>14</v>
      </c>
      <c r="F7" s="1" t="s">
        <v>15</v>
      </c>
      <c r="G7" s="1" t="s">
        <v>16</v>
      </c>
    </row>
    <row r="8" spans="1:31" ht="21.75" customHeight="1" x14ac:dyDescent="0.25">
      <c r="A8" s="104"/>
      <c r="B8" s="57">
        <f>B21</f>
        <v>29.166666666666668</v>
      </c>
      <c r="C8" s="58">
        <f>B71</f>
        <v>0.90984285714285718</v>
      </c>
      <c r="D8" s="59">
        <f>B50</f>
        <v>398445</v>
      </c>
      <c r="E8" s="59">
        <f>B64</f>
        <v>318445</v>
      </c>
      <c r="F8" s="60">
        <f>'Exit-Analyse'!B18</f>
        <v>179066.09779966265</v>
      </c>
      <c r="G8" s="60">
        <f>'Exit-Analyse'!B21</f>
        <v>58710.874425403425</v>
      </c>
    </row>
    <row r="9" spans="1:31" ht="15" customHeight="1" x14ac:dyDescent="0.25"/>
    <row r="10" spans="1:31" ht="15" customHeight="1" x14ac:dyDescent="0.25">
      <c r="A10" s="109" t="s">
        <v>32</v>
      </c>
      <c r="B10" s="106"/>
    </row>
    <row r="11" spans="1:31" ht="15" customHeight="1" x14ac:dyDescent="0.25">
      <c r="A11" s="34" t="s">
        <v>33</v>
      </c>
      <c r="B11" s="8">
        <v>10</v>
      </c>
    </row>
    <row r="12" spans="1:31" ht="15" customHeight="1" x14ac:dyDescent="0.25">
      <c r="A12" s="34" t="s">
        <v>34</v>
      </c>
      <c r="B12" s="61">
        <v>2.5000000000000001E-2</v>
      </c>
    </row>
    <row r="13" spans="1:31" ht="15" customHeight="1" x14ac:dyDescent="0.25">
      <c r="A13" s="34" t="s">
        <v>35</v>
      </c>
      <c r="B13" s="62">
        <f>B27*(1+B12)^B11</f>
        <v>448029.59046872496</v>
      </c>
    </row>
    <row r="14" spans="1:31" ht="15" customHeight="1" x14ac:dyDescent="0.25">
      <c r="A14" s="34" t="s">
        <v>36</v>
      </c>
      <c r="B14" s="62">
        <f>HLOOKUP("Jahr "&amp;B11,$B$104:$AE$113,10,FALSE())</f>
        <v>246562.01314562609</v>
      </c>
    </row>
    <row r="15" spans="1:31" ht="15" customHeight="1" x14ac:dyDescent="0.25">
      <c r="A15" s="34" t="s">
        <v>37</v>
      </c>
      <c r="B15" s="62">
        <f>'Exit-Analyse'!B21</f>
        <v>58710.874425403425</v>
      </c>
    </row>
    <row r="16" spans="1:31" ht="15" customHeight="1" x14ac:dyDescent="0.25">
      <c r="A16" s="25" t="s">
        <v>38</v>
      </c>
      <c r="B16" s="26">
        <v>2.5000000000000001E-2</v>
      </c>
    </row>
    <row r="17" spans="1:4" ht="15" customHeight="1" x14ac:dyDescent="0.25">
      <c r="A17" s="109" t="s">
        <v>39</v>
      </c>
      <c r="B17" s="106"/>
    </row>
    <row r="18" spans="1:4" ht="15" customHeight="1" x14ac:dyDescent="0.25">
      <c r="A18" s="34" t="s">
        <v>4</v>
      </c>
      <c r="B18" s="63">
        <f>(B78*12)/B27</f>
        <v>3.4285714285714287E-2</v>
      </c>
    </row>
    <row r="19" spans="1:4" ht="15" customHeight="1" x14ac:dyDescent="0.25">
      <c r="A19" s="34" t="s">
        <v>5</v>
      </c>
      <c r="B19" s="21">
        <f>(B82-B93)/B50</f>
        <v>2.334073711553665E-2</v>
      </c>
    </row>
    <row r="20" spans="1:4" ht="15" customHeight="1" x14ac:dyDescent="0.25">
      <c r="A20" s="34" t="s">
        <v>40</v>
      </c>
      <c r="B20" s="21">
        <f>IFERROR('Realwert-Analyse'!B19/B63/B11,"—")</f>
        <v>-4.3365250225429294E-2</v>
      </c>
    </row>
    <row r="21" spans="1:4" ht="15" customHeight="1" x14ac:dyDescent="0.25">
      <c r="A21" s="34" t="s">
        <v>41</v>
      </c>
      <c r="B21" s="64">
        <f>B27/(B78*12)</f>
        <v>29.166666666666668</v>
      </c>
    </row>
    <row r="22" spans="1:4" ht="15" customHeight="1" x14ac:dyDescent="0.25">
      <c r="A22" s="9" t="s">
        <v>42</v>
      </c>
      <c r="B22" s="101">
        <f>IFERROR('Realwert-Analyse'!B19/B11,"—")</f>
        <v>-3469.2200180343439</v>
      </c>
      <c r="C22" s="23"/>
      <c r="D22" s="102"/>
    </row>
    <row r="23" spans="1:4" ht="15" customHeight="1" x14ac:dyDescent="0.25">
      <c r="A23" s="34" t="s">
        <v>43</v>
      </c>
      <c r="B23" s="65">
        <f>IFERROR((B93+B111/(1-B100)-B100*(B107+B99+B101+B58)/(1-B100))/(1-B80)/12,0)</f>
        <v>763.85442883553844</v>
      </c>
    </row>
    <row r="24" spans="1:4" ht="15" customHeight="1" x14ac:dyDescent="0.25">
      <c r="A24" s="34" t="s">
        <v>44</v>
      </c>
      <c r="B24" s="21">
        <f>IFERROR((1+B15/B63)^(1/B11)-1,"—")</f>
        <v>5.6579188839004591E-2</v>
      </c>
    </row>
    <row r="25" spans="1:4" ht="15" customHeight="1" x14ac:dyDescent="0.25">
      <c r="A25" s="34" t="s">
        <v>45</v>
      </c>
      <c r="B25" s="21">
        <f>IFERROR((1+B15/B64)^(1/B11)-1,"—")</f>
        <v>1.7064847584561837E-2</v>
      </c>
    </row>
    <row r="26" spans="1:4" ht="15" customHeight="1" x14ac:dyDescent="0.25">
      <c r="A26" s="109" t="s">
        <v>46</v>
      </c>
      <c r="B26" s="106"/>
      <c r="C26" s="23"/>
      <c r="D26" s="23"/>
    </row>
    <row r="27" spans="1:4" ht="15" customHeight="1" x14ac:dyDescent="0.25">
      <c r="A27" s="34" t="s">
        <v>47</v>
      </c>
      <c r="B27" s="66">
        <v>350000</v>
      </c>
    </row>
    <row r="28" spans="1:4" ht="15" customHeight="1" x14ac:dyDescent="0.25">
      <c r="A28" s="34" t="s">
        <v>48</v>
      </c>
      <c r="B28" s="8">
        <v>80</v>
      </c>
    </row>
    <row r="29" spans="1:4" ht="15" customHeight="1" x14ac:dyDescent="0.25">
      <c r="A29" s="34" t="s">
        <v>49</v>
      </c>
      <c r="B29" s="65">
        <f>IF(B28&gt;0,B27/B28,0)</f>
        <v>4375</v>
      </c>
    </row>
    <row r="30" spans="1:4" ht="15" customHeight="1" x14ac:dyDescent="0.25">
      <c r="A30" s="34" t="s">
        <v>50</v>
      </c>
      <c r="B30" s="8">
        <v>200</v>
      </c>
    </row>
    <row r="31" spans="1:4" ht="15" customHeight="1" x14ac:dyDescent="0.25">
      <c r="A31" s="34" t="s">
        <v>51</v>
      </c>
      <c r="B31" s="10">
        <v>2005</v>
      </c>
    </row>
    <row r="32" spans="1:4" ht="15" customHeight="1" x14ac:dyDescent="0.25">
      <c r="A32" s="34" t="s">
        <v>52</v>
      </c>
      <c r="B32" s="11" t="s">
        <v>53</v>
      </c>
    </row>
    <row r="33" spans="1:2" ht="15" customHeight="1" x14ac:dyDescent="0.25">
      <c r="A33" s="34" t="s">
        <v>54</v>
      </c>
      <c r="B33" s="11" t="s">
        <v>55</v>
      </c>
    </row>
    <row r="34" spans="1:2" ht="15" customHeight="1" x14ac:dyDescent="0.25">
      <c r="A34" s="34" t="s">
        <v>56</v>
      </c>
      <c r="B34" s="11" t="s">
        <v>57</v>
      </c>
    </row>
    <row r="35" spans="1:2" ht="15" customHeight="1" x14ac:dyDescent="0.25"/>
    <row r="36" spans="1:2" ht="15" customHeight="1" x14ac:dyDescent="0.25">
      <c r="A36" s="109" t="s">
        <v>58</v>
      </c>
      <c r="B36" s="106"/>
    </row>
    <row r="37" spans="1:2" ht="15" customHeight="1" x14ac:dyDescent="0.25">
      <c r="A37" s="34" t="s">
        <v>59</v>
      </c>
      <c r="B37" s="61">
        <v>3.5000000000000003E-2</v>
      </c>
    </row>
    <row r="38" spans="1:2" ht="15" customHeight="1" x14ac:dyDescent="0.25">
      <c r="A38" s="34" t="s">
        <v>60</v>
      </c>
      <c r="B38" s="62">
        <f>B27*B37</f>
        <v>12250.000000000002</v>
      </c>
    </row>
    <row r="39" spans="1:2" ht="15" customHeight="1" x14ac:dyDescent="0.25">
      <c r="A39" s="34" t="s">
        <v>61</v>
      </c>
      <c r="B39" s="61">
        <v>1.4999999999999999E-2</v>
      </c>
    </row>
    <row r="40" spans="1:2" ht="15" customHeight="1" x14ac:dyDescent="0.25">
      <c r="A40" s="34" t="s">
        <v>62</v>
      </c>
      <c r="B40" s="62">
        <f>B27*B39</f>
        <v>5250</v>
      </c>
    </row>
    <row r="41" spans="1:2" ht="15" customHeight="1" x14ac:dyDescent="0.25">
      <c r="A41" s="34" t="s">
        <v>63</v>
      </c>
      <c r="B41" s="61">
        <v>5.0000000000000001E-3</v>
      </c>
    </row>
    <row r="42" spans="1:2" ht="15" customHeight="1" x14ac:dyDescent="0.25">
      <c r="A42" s="34" t="s">
        <v>64</v>
      </c>
      <c r="B42" s="62">
        <f>B27*B41</f>
        <v>1750</v>
      </c>
    </row>
    <row r="43" spans="1:2" ht="15" customHeight="1" x14ac:dyDescent="0.25">
      <c r="A43" s="34" t="s">
        <v>65</v>
      </c>
      <c r="B43" s="67">
        <v>3.5700000000000003E-2</v>
      </c>
    </row>
    <row r="44" spans="1:2" ht="15" customHeight="1" x14ac:dyDescent="0.25">
      <c r="A44" s="34" t="s">
        <v>66</v>
      </c>
      <c r="B44" s="62">
        <f>B27*B43</f>
        <v>12495</v>
      </c>
    </row>
    <row r="45" spans="1:2" ht="15" customHeight="1" x14ac:dyDescent="0.25">
      <c r="A45" s="34" t="s">
        <v>67</v>
      </c>
      <c r="B45" s="68">
        <v>1200</v>
      </c>
    </row>
    <row r="46" spans="1:2" ht="15" customHeight="1" x14ac:dyDescent="0.25">
      <c r="A46" s="34" t="s">
        <v>68</v>
      </c>
      <c r="B46" s="68">
        <v>15000</v>
      </c>
    </row>
    <row r="47" spans="1:2" ht="15" customHeight="1" x14ac:dyDescent="0.25">
      <c r="A47" s="34" t="s">
        <v>69</v>
      </c>
      <c r="B47" s="68">
        <v>500</v>
      </c>
    </row>
    <row r="48" spans="1:2" ht="15" customHeight="1" x14ac:dyDescent="0.25">
      <c r="A48" s="34" t="s">
        <v>70</v>
      </c>
      <c r="B48" s="69">
        <f>SUM(B38,B40,B42,B44,B45,B46,B47)</f>
        <v>48445</v>
      </c>
    </row>
    <row r="49" spans="1:5" ht="15" customHeight="1" x14ac:dyDescent="0.25">
      <c r="A49" s="34" t="s">
        <v>71</v>
      </c>
      <c r="B49" s="70">
        <f>IF(B27&gt;0,B48/B27,0)</f>
        <v>0.13841428571428571</v>
      </c>
    </row>
    <row r="50" spans="1:5" ht="15" customHeight="1" x14ac:dyDescent="0.25">
      <c r="A50" s="34" t="s">
        <v>72</v>
      </c>
      <c r="B50" s="54">
        <f>B27+B48</f>
        <v>398445</v>
      </c>
    </row>
    <row r="51" spans="1:5" ht="12" customHeight="1" x14ac:dyDescent="0.25">
      <c r="A51" s="106"/>
      <c r="B51" s="106"/>
    </row>
    <row r="52" spans="1:5" ht="15" customHeight="1" x14ac:dyDescent="0.25">
      <c r="A52" s="96" t="s">
        <v>73</v>
      </c>
    </row>
    <row r="53" spans="1:5" ht="15" customHeight="1" x14ac:dyDescent="0.25">
      <c r="A53" s="5" t="s">
        <v>74</v>
      </c>
      <c r="B53" s="71">
        <f>B46</f>
        <v>15000</v>
      </c>
    </row>
    <row r="54" spans="1:5" ht="15" customHeight="1" x14ac:dyDescent="0.25">
      <c r="A54" s="5" t="s">
        <v>75</v>
      </c>
      <c r="B54" s="71">
        <f>B27*B96</f>
        <v>280000</v>
      </c>
    </row>
    <row r="55" spans="1:5" ht="27.75" customHeight="1" x14ac:dyDescent="0.25">
      <c r="A55" s="5" t="s">
        <v>76</v>
      </c>
      <c r="B55" s="27">
        <f>IFERROR(B53/B54,"—")</f>
        <v>5.3571428571428568E-2</v>
      </c>
    </row>
    <row r="56" spans="1:5" ht="15" customHeight="1" x14ac:dyDescent="0.25">
      <c r="A56" s="5" t="s">
        <v>77</v>
      </c>
      <c r="B56" s="54">
        <f>0.15*B54</f>
        <v>42000</v>
      </c>
    </row>
    <row r="57" spans="1:5" ht="15" customHeight="1" x14ac:dyDescent="0.25">
      <c r="A57" s="98" t="str">
        <f>IF(IFERROR(B53/B54,0)&gt;0.15,"⚠ Anschaffungsnahe HK: gesamte Renovierung aktivierungspflichtig (§6 Abs. 1 Nr. 1a EStG, 3-Jahres-Zeitraum)","✓ Sofortabzug als Werbungskosten möglich (Renov ≤ 15 % Gebäude-AK)")</f>
        <v>✓ Sofortabzug als Werbungskosten möglich (Renov ≤ 15 % Gebäude-AK)</v>
      </c>
      <c r="B57" s="99"/>
      <c r="C57" s="22"/>
      <c r="E57" s="22"/>
    </row>
    <row r="58" spans="1:5" ht="15" customHeight="1" x14ac:dyDescent="0.25">
      <c r="A58" s="5" t="s">
        <v>78</v>
      </c>
      <c r="B58" s="71">
        <f>IF(IFERROR(B53/B54,0)&gt;0.15,0,B53)</f>
        <v>15000</v>
      </c>
    </row>
    <row r="59" spans="1:5" ht="15" customHeight="1" x14ac:dyDescent="0.25">
      <c r="A59" s="5" t="s">
        <v>79</v>
      </c>
      <c r="B59" s="71">
        <f>IF(IFERROR(B53/B54,0)&gt;0.15,B53,0)</f>
        <v>0</v>
      </c>
    </row>
    <row r="60" spans="1:5" ht="15" customHeight="1" x14ac:dyDescent="0.25">
      <c r="A60" s="106"/>
      <c r="B60" s="106"/>
    </row>
    <row r="61" spans="1:5" ht="15" customHeight="1" x14ac:dyDescent="0.25">
      <c r="A61" s="109" t="s">
        <v>80</v>
      </c>
      <c r="B61" s="106"/>
    </row>
    <row r="62" spans="1:5" ht="15" customHeight="1" x14ac:dyDescent="0.25">
      <c r="A62" s="34" t="s">
        <v>81</v>
      </c>
      <c r="B62" s="72">
        <f>B63/B50</f>
        <v>0.20078053432719697</v>
      </c>
    </row>
    <row r="63" spans="1:5" ht="15" customHeight="1" x14ac:dyDescent="0.25">
      <c r="A63" s="34" t="s">
        <v>82</v>
      </c>
      <c r="B63" s="73">
        <v>80000</v>
      </c>
    </row>
    <row r="64" spans="1:5" ht="15" customHeight="1" x14ac:dyDescent="0.25">
      <c r="A64" s="34" t="s">
        <v>14</v>
      </c>
      <c r="B64" s="62">
        <f>B50-B63</f>
        <v>318445</v>
      </c>
    </row>
    <row r="65" spans="1:3" ht="15" customHeight="1" x14ac:dyDescent="0.25">
      <c r="A65" s="34" t="s">
        <v>83</v>
      </c>
      <c r="B65" s="67">
        <v>3.5000000000000003E-2</v>
      </c>
    </row>
    <row r="66" spans="1:3" ht="15" customHeight="1" x14ac:dyDescent="0.25">
      <c r="A66" s="34" t="s">
        <v>84</v>
      </c>
      <c r="B66" s="21">
        <f>IFERROR((B68-B64*B65)/B64,0)</f>
        <v>1.8885362537058935E-2</v>
      </c>
    </row>
    <row r="67" spans="1:3" ht="15" customHeight="1" x14ac:dyDescent="0.25">
      <c r="A67" s="34" t="s">
        <v>85</v>
      </c>
      <c r="B67" s="65">
        <f>IFERROR(PMT(B65/12,B70*12,-B64),0)</f>
        <v>1429.9603560928113</v>
      </c>
      <c r="C67" s="35"/>
    </row>
    <row r="68" spans="1:3" ht="15" customHeight="1" x14ac:dyDescent="0.25">
      <c r="A68" s="34" t="s">
        <v>86</v>
      </c>
      <c r="B68" s="62">
        <f>B67*12</f>
        <v>17159.524273113733</v>
      </c>
    </row>
    <row r="69" spans="1:3" ht="15" customHeight="1" x14ac:dyDescent="0.25">
      <c r="A69" s="34" t="s">
        <v>87</v>
      </c>
      <c r="B69" s="8">
        <v>10</v>
      </c>
    </row>
    <row r="70" spans="1:3" ht="15" customHeight="1" x14ac:dyDescent="0.25">
      <c r="A70" s="34" t="s">
        <v>88</v>
      </c>
      <c r="B70" s="8">
        <v>30</v>
      </c>
      <c r="C70" s="100"/>
    </row>
    <row r="71" spans="1:3" ht="15" customHeight="1" x14ac:dyDescent="0.25">
      <c r="A71" s="34" t="s">
        <v>89</v>
      </c>
      <c r="B71" s="72">
        <f>IF(B27&gt;0,B64/B27,0)</f>
        <v>0.90984285714285718</v>
      </c>
    </row>
    <row r="72" spans="1:3" ht="15" customHeight="1" x14ac:dyDescent="0.25">
      <c r="A72" s="34" t="s">
        <v>90</v>
      </c>
      <c r="B72" s="32">
        <v>0</v>
      </c>
      <c r="C72" s="100"/>
    </row>
    <row r="73" spans="1:3" ht="15" customHeight="1" x14ac:dyDescent="0.25">
      <c r="A73" s="34" t="s">
        <v>91</v>
      </c>
      <c r="B73" s="33">
        <v>0.04</v>
      </c>
    </row>
    <row r="74" spans="1:3" ht="15" customHeight="1" x14ac:dyDescent="0.25">
      <c r="A74" s="34" t="s">
        <v>92</v>
      </c>
      <c r="B74" s="54">
        <f>IF($B$72=1,IFERROR(INDEX(Tilgungsplan!$I$4:$I$603,$B$69*12)/MAX($B$70-$B$69,1),0),0)</f>
        <v>0</v>
      </c>
    </row>
    <row r="75" spans="1:3" ht="12" customHeight="1" x14ac:dyDescent="0.25"/>
    <row r="76" spans="1:3" ht="15" customHeight="1" x14ac:dyDescent="0.25">
      <c r="A76" s="109" t="s">
        <v>93</v>
      </c>
      <c r="B76" s="106"/>
    </row>
    <row r="77" spans="1:3" ht="15" customHeight="1" x14ac:dyDescent="0.25">
      <c r="A77" s="34" t="s">
        <v>94</v>
      </c>
      <c r="B77" s="74">
        <v>12.5</v>
      </c>
    </row>
    <row r="78" spans="1:3" ht="15" customHeight="1" x14ac:dyDescent="0.25">
      <c r="A78" s="34" t="s">
        <v>95</v>
      </c>
      <c r="B78" s="75">
        <f>B28*B77</f>
        <v>1000</v>
      </c>
    </row>
    <row r="79" spans="1:3" ht="15" customHeight="1" x14ac:dyDescent="0.25">
      <c r="A79" s="34" t="s">
        <v>96</v>
      </c>
      <c r="B79" s="68">
        <v>1200</v>
      </c>
    </row>
    <row r="80" spans="1:3" ht="15" customHeight="1" x14ac:dyDescent="0.25">
      <c r="A80" s="34" t="s">
        <v>97</v>
      </c>
      <c r="B80" s="61">
        <v>0.02</v>
      </c>
    </row>
    <row r="81" spans="1:2" ht="15" customHeight="1" x14ac:dyDescent="0.25">
      <c r="A81" s="34" t="s">
        <v>98</v>
      </c>
      <c r="B81" s="62">
        <f>B78*12*B80</f>
        <v>240</v>
      </c>
    </row>
    <row r="82" spans="1:2" ht="15" customHeight="1" x14ac:dyDescent="0.25">
      <c r="A82" s="34" t="s">
        <v>99</v>
      </c>
      <c r="B82" s="62">
        <f>(B78*12)-B81</f>
        <v>11760</v>
      </c>
    </row>
    <row r="83" spans="1:2" ht="15" customHeight="1" x14ac:dyDescent="0.25">
      <c r="A83" s="34" t="s">
        <v>100</v>
      </c>
      <c r="B83" s="38">
        <v>0.02</v>
      </c>
    </row>
    <row r="84" spans="1:2" ht="15" customHeight="1" x14ac:dyDescent="0.25"/>
    <row r="85" spans="1:2" ht="15" customHeight="1" x14ac:dyDescent="0.25">
      <c r="A85" s="109" t="s">
        <v>101</v>
      </c>
      <c r="B85" s="106"/>
    </row>
    <row r="86" spans="1:2" ht="15" customHeight="1" x14ac:dyDescent="0.25">
      <c r="A86" s="34" t="s">
        <v>102</v>
      </c>
      <c r="B86" s="68">
        <v>30</v>
      </c>
    </row>
    <row r="87" spans="1:2" ht="15" customHeight="1" x14ac:dyDescent="0.25">
      <c r="A87" s="34" t="s">
        <v>103</v>
      </c>
      <c r="B87" s="68">
        <v>800</v>
      </c>
    </row>
    <row r="88" spans="1:2" ht="15" customHeight="1" x14ac:dyDescent="0.25">
      <c r="A88" s="34" t="s">
        <v>104</v>
      </c>
      <c r="B88" s="68">
        <v>400</v>
      </c>
    </row>
    <row r="89" spans="1:2" ht="15" customHeight="1" x14ac:dyDescent="0.25">
      <c r="A89" s="34" t="s">
        <v>105</v>
      </c>
      <c r="B89" s="68">
        <v>250</v>
      </c>
    </row>
    <row r="90" spans="1:2" ht="15" customHeight="1" x14ac:dyDescent="0.25">
      <c r="A90" s="34" t="s">
        <v>106</v>
      </c>
      <c r="B90" s="68">
        <v>300</v>
      </c>
    </row>
    <row r="91" spans="1:2" ht="15" customHeight="1" x14ac:dyDescent="0.25">
      <c r="A91" s="34" t="s">
        <v>107</v>
      </c>
      <c r="B91" s="68">
        <v>200</v>
      </c>
    </row>
    <row r="92" spans="1:2" ht="15" customHeight="1" x14ac:dyDescent="0.25">
      <c r="A92" s="34" t="s">
        <v>108</v>
      </c>
      <c r="B92" s="68">
        <v>150</v>
      </c>
    </row>
    <row r="93" spans="1:2" ht="15" customHeight="1" x14ac:dyDescent="0.25">
      <c r="A93" s="34" t="s">
        <v>109</v>
      </c>
      <c r="B93" s="54">
        <f>(B86*12)+B87+B88+B89+B90+B91+B92</f>
        <v>2460</v>
      </c>
    </row>
    <row r="94" spans="1:2" ht="15" customHeight="1" x14ac:dyDescent="0.25"/>
    <row r="95" spans="1:2" ht="15" customHeight="1" x14ac:dyDescent="0.25">
      <c r="A95" s="109" t="s">
        <v>110</v>
      </c>
      <c r="B95" s="106"/>
    </row>
    <row r="96" spans="1:2" ht="15" customHeight="1" x14ac:dyDescent="0.25">
      <c r="A96" s="34" t="s">
        <v>111</v>
      </c>
      <c r="B96" s="61">
        <v>0.8</v>
      </c>
    </row>
    <row r="97" spans="1:31" ht="15" customHeight="1" x14ac:dyDescent="0.25">
      <c r="A97" s="34" t="s">
        <v>112</v>
      </c>
      <c r="B97" s="62">
        <f>B54+B59</f>
        <v>280000</v>
      </c>
    </row>
    <row r="98" spans="1:31" ht="15" customHeight="1" x14ac:dyDescent="0.25">
      <c r="A98" s="34" t="s">
        <v>113</v>
      </c>
      <c r="B98" s="61">
        <v>0.02</v>
      </c>
    </row>
    <row r="99" spans="1:31" ht="15" customHeight="1" x14ac:dyDescent="0.25">
      <c r="A99" s="34" t="s">
        <v>114</v>
      </c>
      <c r="B99" s="62">
        <f>B97*B98</f>
        <v>5600</v>
      </c>
    </row>
    <row r="100" spans="1:31" ht="15" customHeight="1" x14ac:dyDescent="0.25">
      <c r="A100" s="34" t="s">
        <v>115</v>
      </c>
      <c r="B100" s="61">
        <v>0.42</v>
      </c>
    </row>
    <row r="101" spans="1:31" ht="15" customHeight="1" x14ac:dyDescent="0.25">
      <c r="A101" s="34" t="s">
        <v>116</v>
      </c>
      <c r="B101" s="68">
        <v>200</v>
      </c>
    </row>
    <row r="102" spans="1:31" ht="15" customHeight="1" x14ac:dyDescent="0.25"/>
    <row r="103" spans="1:31" ht="15" customHeight="1" x14ac:dyDescent="0.25"/>
    <row r="104" spans="1:31" ht="15" customHeight="1" x14ac:dyDescent="0.25">
      <c r="A104" s="12" t="s">
        <v>117</v>
      </c>
      <c r="B104" s="13" t="s">
        <v>118</v>
      </c>
      <c r="C104" s="13" t="s">
        <v>119</v>
      </c>
      <c r="D104" s="13" t="s">
        <v>120</v>
      </c>
      <c r="E104" s="13" t="s">
        <v>121</v>
      </c>
      <c r="F104" s="13" t="s">
        <v>122</v>
      </c>
      <c r="G104" s="13" t="s">
        <v>123</v>
      </c>
      <c r="H104" s="13" t="s">
        <v>124</v>
      </c>
      <c r="I104" s="13" t="s">
        <v>125</v>
      </c>
      <c r="J104" s="13" t="s">
        <v>126</v>
      </c>
      <c r="K104" s="13" t="s">
        <v>127</v>
      </c>
      <c r="L104" s="13" t="s">
        <v>128</v>
      </c>
      <c r="M104" s="13" t="s">
        <v>129</v>
      </c>
      <c r="N104" s="13" t="s">
        <v>130</v>
      </c>
      <c r="O104" s="13" t="s">
        <v>131</v>
      </c>
      <c r="P104" s="13" t="s">
        <v>132</v>
      </c>
      <c r="Q104" s="13" t="s">
        <v>133</v>
      </c>
      <c r="R104" s="13" t="s">
        <v>134</v>
      </c>
      <c r="S104" s="13" t="s">
        <v>135</v>
      </c>
      <c r="T104" s="13" t="s">
        <v>136</v>
      </c>
      <c r="U104" s="13" t="s">
        <v>137</v>
      </c>
      <c r="V104" s="13" t="s">
        <v>138</v>
      </c>
      <c r="W104" s="13" t="s">
        <v>139</v>
      </c>
      <c r="X104" s="13" t="s">
        <v>140</v>
      </c>
      <c r="Y104" s="13" t="s">
        <v>141</v>
      </c>
      <c r="Z104" s="13" t="s">
        <v>142</v>
      </c>
      <c r="AA104" s="13" t="s">
        <v>143</v>
      </c>
      <c r="AB104" s="13" t="s">
        <v>144</v>
      </c>
      <c r="AC104" s="13" t="s">
        <v>145</v>
      </c>
      <c r="AD104" s="13" t="s">
        <v>146</v>
      </c>
      <c r="AE104" s="13" t="s">
        <v>147</v>
      </c>
    </row>
    <row r="105" spans="1:31" ht="15" customHeight="1" x14ac:dyDescent="0.25">
      <c r="A105" s="34" t="s">
        <v>148</v>
      </c>
      <c r="B105" s="62">
        <f>B82</f>
        <v>11760</v>
      </c>
      <c r="C105" s="62">
        <f t="shared" ref="C105:AE105" si="0">B105*(1+$B$83)</f>
        <v>11995.2</v>
      </c>
      <c r="D105" s="62">
        <f t="shared" si="0"/>
        <v>12235.104000000001</v>
      </c>
      <c r="E105" s="62">
        <f t="shared" si="0"/>
        <v>12479.806080000002</v>
      </c>
      <c r="F105" s="62">
        <f t="shared" si="0"/>
        <v>12729.402201600002</v>
      </c>
      <c r="G105" s="62">
        <f t="shared" si="0"/>
        <v>12983.990245632001</v>
      </c>
      <c r="H105" s="62">
        <f t="shared" si="0"/>
        <v>13243.670050544642</v>
      </c>
      <c r="I105" s="62">
        <f t="shared" si="0"/>
        <v>13508.543451555535</v>
      </c>
      <c r="J105" s="62">
        <f t="shared" si="0"/>
        <v>13778.714320586647</v>
      </c>
      <c r="K105" s="62">
        <f t="shared" si="0"/>
        <v>14054.28860699838</v>
      </c>
      <c r="L105" s="62">
        <f t="shared" si="0"/>
        <v>14335.374379138348</v>
      </c>
      <c r="M105" s="62">
        <f t="shared" si="0"/>
        <v>14622.081866721115</v>
      </c>
      <c r="N105" s="62">
        <f t="shared" si="0"/>
        <v>14914.523504055538</v>
      </c>
      <c r="O105" s="62">
        <f t="shared" si="0"/>
        <v>15212.813974136649</v>
      </c>
      <c r="P105" s="62">
        <f t="shared" si="0"/>
        <v>15517.070253619382</v>
      </c>
      <c r="Q105" s="62">
        <f t="shared" si="0"/>
        <v>15827.41165869177</v>
      </c>
      <c r="R105" s="62">
        <f t="shared" si="0"/>
        <v>16143.959891865605</v>
      </c>
      <c r="S105" s="62">
        <f t="shared" si="0"/>
        <v>16466.839089702917</v>
      </c>
      <c r="T105" s="62">
        <f t="shared" si="0"/>
        <v>16796.175871496976</v>
      </c>
      <c r="U105" s="62">
        <f t="shared" si="0"/>
        <v>17132.099388926916</v>
      </c>
      <c r="V105" s="62">
        <f t="shared" si="0"/>
        <v>17474.741376705453</v>
      </c>
      <c r="W105" s="62">
        <f t="shared" si="0"/>
        <v>17824.236204239562</v>
      </c>
      <c r="X105" s="62">
        <f t="shared" si="0"/>
        <v>18180.720928324354</v>
      </c>
      <c r="Y105" s="62">
        <f t="shared" si="0"/>
        <v>18544.335346890843</v>
      </c>
      <c r="Z105" s="62">
        <f t="shared" si="0"/>
        <v>18915.22205382866</v>
      </c>
      <c r="AA105" s="62">
        <f t="shared" si="0"/>
        <v>19293.526494905233</v>
      </c>
      <c r="AB105" s="62">
        <f t="shared" si="0"/>
        <v>19679.397024803337</v>
      </c>
      <c r="AC105" s="62">
        <f t="shared" si="0"/>
        <v>20072.984965299405</v>
      </c>
      <c r="AD105" s="62">
        <f t="shared" si="0"/>
        <v>20474.444664605395</v>
      </c>
      <c r="AE105" s="62">
        <f t="shared" si="0"/>
        <v>20883.933557897504</v>
      </c>
    </row>
    <row r="106" spans="1:31" ht="15" customHeight="1" x14ac:dyDescent="0.25">
      <c r="A106" s="34" t="s">
        <v>149</v>
      </c>
      <c r="B106" s="62">
        <f>B93</f>
        <v>2460</v>
      </c>
      <c r="C106" s="62">
        <f t="shared" ref="C106:AE106" si="1">B106*(1+$B$16)</f>
        <v>2521.5</v>
      </c>
      <c r="D106" s="62">
        <f t="shared" si="1"/>
        <v>2584.5374999999999</v>
      </c>
      <c r="E106" s="62">
        <f t="shared" si="1"/>
        <v>2649.1509374999996</v>
      </c>
      <c r="F106" s="62">
        <f t="shared" si="1"/>
        <v>2715.3797109374996</v>
      </c>
      <c r="G106" s="62">
        <f t="shared" si="1"/>
        <v>2783.2642037109367</v>
      </c>
      <c r="H106" s="62">
        <f t="shared" si="1"/>
        <v>2852.84580880371</v>
      </c>
      <c r="I106" s="62">
        <f t="shared" si="1"/>
        <v>2924.1669540238026</v>
      </c>
      <c r="J106" s="62">
        <f t="shared" si="1"/>
        <v>2997.2711278743973</v>
      </c>
      <c r="K106" s="62">
        <f t="shared" si="1"/>
        <v>3072.2029060712571</v>
      </c>
      <c r="L106" s="62">
        <f t="shared" si="1"/>
        <v>3149.0079787230384</v>
      </c>
      <c r="M106" s="62">
        <f t="shared" si="1"/>
        <v>3227.7331781911139</v>
      </c>
      <c r="N106" s="62">
        <f t="shared" si="1"/>
        <v>3308.4265076458914</v>
      </c>
      <c r="O106" s="62">
        <f t="shared" si="1"/>
        <v>3391.1371703370382</v>
      </c>
      <c r="P106" s="62">
        <f t="shared" si="1"/>
        <v>3475.9155995954638</v>
      </c>
      <c r="Q106" s="62">
        <f t="shared" si="1"/>
        <v>3562.81348958535</v>
      </c>
      <c r="R106" s="62">
        <f t="shared" si="1"/>
        <v>3651.8838268249833</v>
      </c>
      <c r="S106" s="62">
        <f t="shared" si="1"/>
        <v>3743.1809224956078</v>
      </c>
      <c r="T106" s="62">
        <f t="shared" si="1"/>
        <v>3836.7604455579976</v>
      </c>
      <c r="U106" s="62">
        <f t="shared" si="1"/>
        <v>3932.6794566969475</v>
      </c>
      <c r="V106" s="62">
        <f t="shared" si="1"/>
        <v>4030.9964431143708</v>
      </c>
      <c r="W106" s="62">
        <f t="shared" si="1"/>
        <v>4131.7713541922294</v>
      </c>
      <c r="X106" s="62">
        <f t="shared" si="1"/>
        <v>4235.0656380470346</v>
      </c>
      <c r="Y106" s="62">
        <f t="shared" si="1"/>
        <v>4340.94227899821</v>
      </c>
      <c r="Z106" s="62">
        <f t="shared" si="1"/>
        <v>4449.4658359731648</v>
      </c>
      <c r="AA106" s="62">
        <f t="shared" si="1"/>
        <v>4560.7024818724931</v>
      </c>
      <c r="AB106" s="62">
        <f t="shared" si="1"/>
        <v>4674.7200439193048</v>
      </c>
      <c r="AC106" s="62">
        <f t="shared" si="1"/>
        <v>4791.5880450172872</v>
      </c>
      <c r="AD106" s="62">
        <f t="shared" si="1"/>
        <v>4911.3777461427189</v>
      </c>
      <c r="AE106" s="62">
        <f t="shared" si="1"/>
        <v>5034.1621897962868</v>
      </c>
    </row>
    <row r="107" spans="1:31" ht="15" customHeight="1" x14ac:dyDescent="0.25">
      <c r="A107" s="34" t="s">
        <v>150</v>
      </c>
      <c r="B107" s="62">
        <f>IF(1&gt;$B$70,0,SUMIF(Tilgungsplan!$B$4:$B$603,1,Tilgungsplan!$F$4:$F$603))</f>
        <v>11048.157106934035</v>
      </c>
      <c r="C107" s="62">
        <f>IF(2&gt;$B$70,0,SUMIF(Tilgungsplan!$B$4:$B$603,2,Tilgungsplan!$F$4:$F$603))</f>
        <v>10830.794398498972</v>
      </c>
      <c r="D107" s="62">
        <f>IF(3&gt;$B$70,0,SUMIF(Tilgungsplan!$B$4:$B$603,3,Tilgungsplan!$F$4:$F$603))</f>
        <v>10605.700760840791</v>
      </c>
      <c r="E107" s="62">
        <f>IF(4&gt;$B$70,0,SUMIF(Tilgungsplan!$B$4:$B$603,4,Tilgungsplan!$F$4:$F$603))</f>
        <v>10372.601228363583</v>
      </c>
      <c r="F107" s="62">
        <f>IF(5&gt;$B$70,0,SUMIF(Tilgungsplan!$B$4:$B$603,5,Tilgungsplan!$F$4:$F$603))</f>
        <v>10131.211055783033</v>
      </c>
      <c r="G107" s="62">
        <f>IF(6&gt;$B$70,0,SUMIF(Tilgungsplan!$B$4:$B$603,6,Tilgungsplan!$F$4:$F$603))</f>
        <v>9881.2353702926885</v>
      </c>
      <c r="H107" s="62">
        <f>IF(7&gt;$B$70,0,SUMIF(Tilgungsplan!$B$4:$B$603,7,Tilgungsplan!$F$4:$F$603))</f>
        <v>9622.3688113588723</v>
      </c>
      <c r="I107" s="62">
        <f>IF(8&gt;$B$70,0,SUMIF(Tilgungsplan!$B$4:$B$603,8,Tilgungsplan!$F$4:$F$603))</f>
        <v>9354.2951577041713</v>
      </c>
      <c r="J107" s="62">
        <f>IF(9&gt;$B$70,0,SUMIF(Tilgungsplan!$B$4:$B$603,9,Tilgungsplan!$F$4:$F$603))</f>
        <v>9076.6869410238814</v>
      </c>
      <c r="K107" s="62">
        <f>IF(10&gt;$B$70,0,SUMIF(Tilgungsplan!$B$4:$B$603,10,Tilgungsplan!$F$4:$F$603))</f>
        <v>8789.2050459635084</v>
      </c>
      <c r="L107" s="62">
        <f>IF(11&gt;$B$70,0,SUMIF(Tilgungsplan!$B$4:$B$603,11,Tilgungsplan!$F$4:$F$603))</f>
        <v>8491.4982958687015</v>
      </c>
      <c r="M107" s="62">
        <f>IF(12&gt;$B$70,0,SUMIF(Tilgungsplan!$B$4:$B$603,12,Tilgungsplan!$F$4:$F$603))</f>
        <v>8183.2030238015786</v>
      </c>
      <c r="N107" s="62">
        <f>IF(13&gt;$B$70,0,SUMIF(Tilgungsplan!$B$4:$B$603,13,Tilgungsplan!$F$4:$F$603))</f>
        <v>7863.9426282993782</v>
      </c>
      <c r="O107" s="62">
        <f>IF(14&gt;$B$70,0,SUMIF(Tilgungsplan!$B$4:$B$603,14,Tilgungsplan!$F$4:$F$603))</f>
        <v>7533.3271133328408</v>
      </c>
      <c r="P107" s="62">
        <f>IF(15&gt;$B$70,0,SUMIF(Tilgungsplan!$B$4:$B$603,15,Tilgungsplan!$F$4:$F$603))</f>
        <v>7190.9526119022803</v>
      </c>
      <c r="Q107" s="62">
        <f>IF(16&gt;$B$70,0,SUMIF(Tilgungsplan!$B$4:$B$603,16,Tilgungsplan!$F$4:$F$603))</f>
        <v>6836.4008926894376</v>
      </c>
      <c r="R107" s="62">
        <f>IF(17&gt;$B$70,0,SUMIF(Tilgungsplan!$B$4:$B$603,17,Tilgungsplan!$F$4:$F$603))</f>
        <v>6469.2388491624379</v>
      </c>
      <c r="S107" s="62">
        <f>IF(18&gt;$B$70,0,SUMIF(Tilgungsplan!$B$4:$B$603,18,Tilgungsplan!$F$4:$F$603))</f>
        <v>6089.0179705097653</v>
      </c>
      <c r="T107" s="62">
        <f>IF(19&gt;$B$70,0,SUMIF(Tilgungsplan!$B$4:$B$603,19,Tilgungsplan!$F$4:$F$603))</f>
        <v>5695.2737937569818</v>
      </c>
      <c r="U107" s="62">
        <f>IF(20&gt;$B$70,0,SUMIF(Tilgungsplan!$B$4:$B$603,20,Tilgungsplan!$F$4:$F$603))</f>
        <v>5287.5253363968823</v>
      </c>
      <c r="V107" s="62">
        <f>IF(21&gt;$B$70,0,SUMIF(Tilgungsplan!$B$4:$B$603,21,Tilgungsplan!$F$4:$F$603))</f>
        <v>4865.2745088400616</v>
      </c>
      <c r="W107" s="62">
        <f>IF(22&gt;$B$70,0,SUMIF(Tilgungsplan!$B$4:$B$603,22,Tilgungsplan!$F$4:$F$603))</f>
        <v>4428.0055059681299</v>
      </c>
      <c r="X107" s="62">
        <f>IF(23&gt;$B$70,0,SUMIF(Tilgungsplan!$B$4:$B$603,23,Tilgungsplan!$F$4:$F$603))</f>
        <v>3975.1841770463234</v>
      </c>
      <c r="Y107" s="62">
        <f>IF(24&gt;$B$70,0,SUMIF(Tilgungsplan!$B$4:$B$603,24,Tilgungsplan!$F$4:$F$603))</f>
        <v>3506.2573732258206</v>
      </c>
      <c r="Z107" s="62">
        <f>IF(25&gt;$B$70,0,SUMIF(Tilgungsplan!$B$4:$B$603,25,Tilgungsplan!$F$4:$F$603))</f>
        <v>3020.6522718387314</v>
      </c>
      <c r="AA107" s="62">
        <f>IF(26&gt;$B$70,0,SUMIF(Tilgungsplan!$B$4:$B$603,26,Tilgungsplan!$F$4:$F$603))</f>
        <v>2517.7756766602843</v>
      </c>
      <c r="AB107" s="62">
        <f>IF(27&gt;$B$70,0,SUMIF(Tilgungsplan!$B$4:$B$603,27,Tilgungsplan!$F$4:$F$603))</f>
        <v>1997.0132932834949</v>
      </c>
      <c r="AC107" s="62">
        <f>IF(28&gt;$B$70,0,SUMIF(Tilgungsplan!$B$4:$B$603,28,Tilgungsplan!$F$4:$F$603))</f>
        <v>1457.7289787211121</v>
      </c>
      <c r="AD107" s="62">
        <f>IF(29&gt;$B$70,0,SUMIF(Tilgungsplan!$B$4:$B$603,29,Tilgungsplan!$F$4:$F$603))</f>
        <v>899.26396431818921</v>
      </c>
      <c r="AE107" s="62">
        <f>IF(30&gt;$B$70,0,SUMIF(Tilgungsplan!$B$4:$B$603,30,Tilgungsplan!$F$4:$F$603))</f>
        <v>320.93605102602658</v>
      </c>
    </row>
    <row r="108" spans="1:31" ht="15" customHeight="1" x14ac:dyDescent="0.25">
      <c r="A108" s="34" t="s">
        <v>151</v>
      </c>
      <c r="B108" s="62">
        <f t="shared" ref="B108:AE108" si="2">$B$99</f>
        <v>5600</v>
      </c>
      <c r="C108" s="62">
        <f t="shared" si="2"/>
        <v>5600</v>
      </c>
      <c r="D108" s="62">
        <f t="shared" si="2"/>
        <v>5600</v>
      </c>
      <c r="E108" s="62">
        <f t="shared" si="2"/>
        <v>5600</v>
      </c>
      <c r="F108" s="62">
        <f t="shared" si="2"/>
        <v>5600</v>
      </c>
      <c r="G108" s="62">
        <f t="shared" si="2"/>
        <v>5600</v>
      </c>
      <c r="H108" s="62">
        <f t="shared" si="2"/>
        <v>5600</v>
      </c>
      <c r="I108" s="62">
        <f t="shared" si="2"/>
        <v>5600</v>
      </c>
      <c r="J108" s="62">
        <f t="shared" si="2"/>
        <v>5600</v>
      </c>
      <c r="K108" s="62">
        <f t="shared" si="2"/>
        <v>5600</v>
      </c>
      <c r="L108" s="62">
        <f t="shared" si="2"/>
        <v>5600</v>
      </c>
      <c r="M108" s="62">
        <f t="shared" si="2"/>
        <v>5600</v>
      </c>
      <c r="N108" s="62">
        <f t="shared" si="2"/>
        <v>5600</v>
      </c>
      <c r="O108" s="62">
        <f t="shared" si="2"/>
        <v>5600</v>
      </c>
      <c r="P108" s="62">
        <f t="shared" si="2"/>
        <v>5600</v>
      </c>
      <c r="Q108" s="62">
        <f t="shared" si="2"/>
        <v>5600</v>
      </c>
      <c r="R108" s="62">
        <f t="shared" si="2"/>
        <v>5600</v>
      </c>
      <c r="S108" s="62">
        <f t="shared" si="2"/>
        <v>5600</v>
      </c>
      <c r="T108" s="62">
        <f t="shared" si="2"/>
        <v>5600</v>
      </c>
      <c r="U108" s="62">
        <f t="shared" si="2"/>
        <v>5600</v>
      </c>
      <c r="V108" s="62">
        <f t="shared" si="2"/>
        <v>5600</v>
      </c>
      <c r="W108" s="62">
        <f t="shared" si="2"/>
        <v>5600</v>
      </c>
      <c r="X108" s="62">
        <f t="shared" si="2"/>
        <v>5600</v>
      </c>
      <c r="Y108" s="62">
        <f t="shared" si="2"/>
        <v>5600</v>
      </c>
      <c r="Z108" s="62">
        <f t="shared" si="2"/>
        <v>5600</v>
      </c>
      <c r="AA108" s="62">
        <f t="shared" si="2"/>
        <v>5600</v>
      </c>
      <c r="AB108" s="62">
        <f t="shared" si="2"/>
        <v>5600</v>
      </c>
      <c r="AC108" s="62">
        <f t="shared" si="2"/>
        <v>5600</v>
      </c>
      <c r="AD108" s="62">
        <f t="shared" si="2"/>
        <v>5600</v>
      </c>
      <c r="AE108" s="62">
        <f t="shared" si="2"/>
        <v>5600</v>
      </c>
    </row>
    <row r="109" spans="1:31" ht="15" customHeight="1" x14ac:dyDescent="0.25">
      <c r="A109" s="34" t="s">
        <v>152</v>
      </c>
      <c r="B109" s="62">
        <f>B105-B106-B107-B108-$B$101-$B$58</f>
        <v>-22548.157106934035</v>
      </c>
      <c r="C109" s="62">
        <f t="shared" ref="C109:AE109" si="3">C105-C106-C107-C108-$B$101</f>
        <v>-7157.0943984989717</v>
      </c>
      <c r="D109" s="62">
        <f t="shared" si="3"/>
        <v>-6755.1342608407904</v>
      </c>
      <c r="E109" s="62">
        <f t="shared" si="3"/>
        <v>-6341.9460858635794</v>
      </c>
      <c r="F109" s="62">
        <f t="shared" si="3"/>
        <v>-5917.1885651205303</v>
      </c>
      <c r="G109" s="62">
        <f t="shared" si="3"/>
        <v>-5480.5093283716233</v>
      </c>
      <c r="H109" s="62">
        <f t="shared" si="3"/>
        <v>-5031.5445696179395</v>
      </c>
      <c r="I109" s="62">
        <f t="shared" si="3"/>
        <v>-4569.9186601724396</v>
      </c>
      <c r="J109" s="62">
        <f t="shared" si="3"/>
        <v>-4095.2437483116319</v>
      </c>
      <c r="K109" s="62">
        <f t="shared" si="3"/>
        <v>-3607.1193450363862</v>
      </c>
      <c r="L109" s="62">
        <f t="shared" si="3"/>
        <v>-3105.1318954533926</v>
      </c>
      <c r="M109" s="62">
        <f t="shared" si="3"/>
        <v>-2588.8543352715778</v>
      </c>
      <c r="N109" s="62">
        <f t="shared" si="3"/>
        <v>-2057.8456318897306</v>
      </c>
      <c r="O109" s="62">
        <f t="shared" si="3"/>
        <v>-1511.6503095332309</v>
      </c>
      <c r="P109" s="62">
        <f t="shared" si="3"/>
        <v>-949.79795787836247</v>
      </c>
      <c r="Q109" s="62">
        <f t="shared" si="3"/>
        <v>-371.80272358301863</v>
      </c>
      <c r="R109" s="62">
        <f t="shared" si="3"/>
        <v>222.83721587818309</v>
      </c>
      <c r="S109" s="62">
        <f t="shared" si="3"/>
        <v>834.64019669754271</v>
      </c>
      <c r="T109" s="62">
        <f t="shared" si="3"/>
        <v>1464.1416321819979</v>
      </c>
      <c r="U109" s="62">
        <f t="shared" si="3"/>
        <v>2111.894595833086</v>
      </c>
      <c r="V109" s="62">
        <f t="shared" si="3"/>
        <v>2778.4704247510199</v>
      </c>
      <c r="W109" s="62">
        <f t="shared" si="3"/>
        <v>3464.4593440792014</v>
      </c>
      <c r="X109" s="62">
        <f t="shared" si="3"/>
        <v>4170.4711132309949</v>
      </c>
      <c r="Y109" s="62">
        <f t="shared" si="3"/>
        <v>4897.1356946668129</v>
      </c>
      <c r="Z109" s="62">
        <f t="shared" si="3"/>
        <v>5645.1039460167631</v>
      </c>
      <c r="AA109" s="62">
        <f t="shared" si="3"/>
        <v>6415.0483363724561</v>
      </c>
      <c r="AB109" s="62">
        <f t="shared" si="3"/>
        <v>7207.6636876005377</v>
      </c>
      <c r="AC109" s="62">
        <f t="shared" si="3"/>
        <v>8023.6679415610051</v>
      </c>
      <c r="AD109" s="62">
        <f t="shared" si="3"/>
        <v>8863.8029541444848</v>
      </c>
      <c r="AE109" s="62">
        <f t="shared" si="3"/>
        <v>9728.8353170751907</v>
      </c>
    </row>
    <row r="110" spans="1:31" ht="15" customHeight="1" x14ac:dyDescent="0.25">
      <c r="A110" s="34" t="s">
        <v>153</v>
      </c>
      <c r="B110" s="62">
        <f t="shared" ref="B110:AE110" si="4">-B109*$B$100</f>
        <v>9470.2259849122947</v>
      </c>
      <c r="C110" s="62">
        <f t="shared" si="4"/>
        <v>3005.9796473695678</v>
      </c>
      <c r="D110" s="62">
        <f t="shared" si="4"/>
        <v>2837.1563895531317</v>
      </c>
      <c r="E110" s="62">
        <f t="shared" si="4"/>
        <v>2663.617356062703</v>
      </c>
      <c r="F110" s="62">
        <f t="shared" si="4"/>
        <v>2485.2191973506228</v>
      </c>
      <c r="G110" s="62">
        <f t="shared" si="4"/>
        <v>2301.8139179160817</v>
      </c>
      <c r="H110" s="62">
        <f t="shared" si="4"/>
        <v>2113.2487192395347</v>
      </c>
      <c r="I110" s="62">
        <f t="shared" si="4"/>
        <v>1919.3658372724246</v>
      </c>
      <c r="J110" s="62">
        <f t="shared" si="4"/>
        <v>1720.0023742908854</v>
      </c>
      <c r="K110" s="62">
        <f t="shared" si="4"/>
        <v>1514.9901249152822</v>
      </c>
      <c r="L110" s="62">
        <f t="shared" si="4"/>
        <v>1304.1553960904248</v>
      </c>
      <c r="M110" s="62">
        <f t="shared" si="4"/>
        <v>1087.3188208140627</v>
      </c>
      <c r="N110" s="62">
        <f t="shared" si="4"/>
        <v>864.29516539368683</v>
      </c>
      <c r="O110" s="62">
        <f t="shared" si="4"/>
        <v>634.89313000395703</v>
      </c>
      <c r="P110" s="62">
        <f t="shared" si="4"/>
        <v>398.91514230891221</v>
      </c>
      <c r="Q110" s="62">
        <f t="shared" si="4"/>
        <v>156.15714390486781</v>
      </c>
      <c r="R110" s="62">
        <f t="shared" si="4"/>
        <v>-93.591630668836899</v>
      </c>
      <c r="S110" s="62">
        <f t="shared" si="4"/>
        <v>-350.54888261296793</v>
      </c>
      <c r="T110" s="62">
        <f t="shared" si="4"/>
        <v>-614.93948551643905</v>
      </c>
      <c r="U110" s="62">
        <f t="shared" si="4"/>
        <v>-886.99573024989604</v>
      </c>
      <c r="V110" s="62">
        <f t="shared" si="4"/>
        <v>-1166.9575783954283</v>
      </c>
      <c r="W110" s="62">
        <f t="shared" si="4"/>
        <v>-1455.0729245132645</v>
      </c>
      <c r="X110" s="62">
        <f t="shared" si="4"/>
        <v>-1751.5978675570177</v>
      </c>
      <c r="Y110" s="62">
        <f t="shared" si="4"/>
        <v>-2056.7969917600612</v>
      </c>
      <c r="Z110" s="62">
        <f t="shared" si="4"/>
        <v>-2370.9436573270405</v>
      </c>
      <c r="AA110" s="62">
        <f t="shared" si="4"/>
        <v>-2694.3203012764316</v>
      </c>
      <c r="AB110" s="62">
        <f t="shared" si="4"/>
        <v>-3027.2187487922256</v>
      </c>
      <c r="AC110" s="62">
        <f t="shared" si="4"/>
        <v>-3369.940535455622</v>
      </c>
      <c r="AD110" s="62">
        <f t="shared" si="4"/>
        <v>-3722.7972407406833</v>
      </c>
      <c r="AE110" s="62">
        <f t="shared" si="4"/>
        <v>-4086.11083317158</v>
      </c>
    </row>
    <row r="111" spans="1:31" ht="15" customHeight="1" x14ac:dyDescent="0.25">
      <c r="A111" s="34" t="s">
        <v>154</v>
      </c>
      <c r="B111" s="62">
        <f>IF(1&gt;$B$70,0,SUMIF(Tilgungsplan!$B$4:$B$603,1,Tilgungsplan!$E$4:$E$603)+SUMIF(Tilgungsplan!$B$4:$B$603,1,Tilgungsplan!$J$4:$J$603))</f>
        <v>17159.524273113737</v>
      </c>
      <c r="C111" s="62">
        <f>IF(2&gt;$B$70,0,SUMIF(Tilgungsplan!$B$4:$B$603,2,Tilgungsplan!$E$4:$E$603)+SUMIF(Tilgungsplan!$B$4:$B$603,2,Tilgungsplan!$J$4:$J$603))</f>
        <v>17159.524273113737</v>
      </c>
      <c r="D111" s="62">
        <f>IF(3&gt;$B$70,0,SUMIF(Tilgungsplan!$B$4:$B$603,3,Tilgungsplan!$E$4:$E$603)+SUMIF(Tilgungsplan!$B$4:$B$603,3,Tilgungsplan!$J$4:$J$603))</f>
        <v>17159.524273113737</v>
      </c>
      <c r="E111" s="62">
        <f>IF(4&gt;$B$70,0,SUMIF(Tilgungsplan!$B$4:$B$603,4,Tilgungsplan!$E$4:$E$603)+SUMIF(Tilgungsplan!$B$4:$B$603,4,Tilgungsplan!$J$4:$J$603))</f>
        <v>17159.524273113737</v>
      </c>
      <c r="F111" s="62">
        <f>IF(5&gt;$B$70,0,SUMIF(Tilgungsplan!$B$4:$B$603,5,Tilgungsplan!$E$4:$E$603)+SUMIF(Tilgungsplan!$B$4:$B$603,5,Tilgungsplan!$J$4:$J$603))</f>
        <v>17159.524273113737</v>
      </c>
      <c r="G111" s="62">
        <f>IF(6&gt;$B$70,0,SUMIF(Tilgungsplan!$B$4:$B$603,6,Tilgungsplan!$E$4:$E$603)+SUMIF(Tilgungsplan!$B$4:$B$603,6,Tilgungsplan!$J$4:$J$603))</f>
        <v>17159.524273113737</v>
      </c>
      <c r="H111" s="62">
        <f>IF(7&gt;$B$70,0,SUMIF(Tilgungsplan!$B$4:$B$603,7,Tilgungsplan!$E$4:$E$603)+SUMIF(Tilgungsplan!$B$4:$B$603,7,Tilgungsplan!$J$4:$J$603))</f>
        <v>17159.524273113737</v>
      </c>
      <c r="I111" s="62">
        <f>IF(8&gt;$B$70,0,SUMIF(Tilgungsplan!$B$4:$B$603,8,Tilgungsplan!$E$4:$E$603)+SUMIF(Tilgungsplan!$B$4:$B$603,8,Tilgungsplan!$J$4:$J$603))</f>
        <v>17159.524273113737</v>
      </c>
      <c r="J111" s="62">
        <f>IF(9&gt;$B$70,0,SUMIF(Tilgungsplan!$B$4:$B$603,9,Tilgungsplan!$E$4:$E$603)+SUMIF(Tilgungsplan!$B$4:$B$603,9,Tilgungsplan!$J$4:$J$603))</f>
        <v>17159.524273113737</v>
      </c>
      <c r="K111" s="62">
        <f>IF(10&gt;$B$70,0,SUMIF(Tilgungsplan!$B$4:$B$603,10,Tilgungsplan!$E$4:$E$603)+SUMIF(Tilgungsplan!$B$4:$B$603,10,Tilgungsplan!$J$4:$J$603))</f>
        <v>17159.524273113737</v>
      </c>
      <c r="L111" s="62">
        <f>IF(11&gt;$B$70,0,SUMIF(Tilgungsplan!$B$4:$B$603,11,Tilgungsplan!$E$4:$E$603)+SUMIF(Tilgungsplan!$B$4:$B$603,11,Tilgungsplan!$J$4:$J$603))</f>
        <v>17159.524273113737</v>
      </c>
      <c r="M111" s="62">
        <f>IF(12&gt;$B$70,0,SUMIF(Tilgungsplan!$B$4:$B$603,12,Tilgungsplan!$E$4:$E$603)+SUMIF(Tilgungsplan!$B$4:$B$603,12,Tilgungsplan!$J$4:$J$603))</f>
        <v>17159.524273113737</v>
      </c>
      <c r="N111" s="62">
        <f>IF(13&gt;$B$70,0,SUMIF(Tilgungsplan!$B$4:$B$603,13,Tilgungsplan!$E$4:$E$603)+SUMIF(Tilgungsplan!$B$4:$B$603,13,Tilgungsplan!$J$4:$J$603))</f>
        <v>17159.524273113737</v>
      </c>
      <c r="O111" s="62">
        <f>IF(14&gt;$B$70,0,SUMIF(Tilgungsplan!$B$4:$B$603,14,Tilgungsplan!$E$4:$E$603)+SUMIF(Tilgungsplan!$B$4:$B$603,14,Tilgungsplan!$J$4:$J$603))</f>
        <v>17159.524273113737</v>
      </c>
      <c r="P111" s="62">
        <f>IF(15&gt;$B$70,0,SUMIF(Tilgungsplan!$B$4:$B$603,15,Tilgungsplan!$E$4:$E$603)+SUMIF(Tilgungsplan!$B$4:$B$603,15,Tilgungsplan!$J$4:$J$603))</f>
        <v>17159.524273113737</v>
      </c>
      <c r="Q111" s="62">
        <f>IF(16&gt;$B$70,0,SUMIF(Tilgungsplan!$B$4:$B$603,16,Tilgungsplan!$E$4:$E$603)+SUMIF(Tilgungsplan!$B$4:$B$603,16,Tilgungsplan!$J$4:$J$603))</f>
        <v>17159.524273113737</v>
      </c>
      <c r="R111" s="62">
        <f>IF(17&gt;$B$70,0,SUMIF(Tilgungsplan!$B$4:$B$603,17,Tilgungsplan!$E$4:$E$603)+SUMIF(Tilgungsplan!$B$4:$B$603,17,Tilgungsplan!$J$4:$J$603))</f>
        <v>17159.524273113737</v>
      </c>
      <c r="S111" s="62">
        <f>IF(18&gt;$B$70,0,SUMIF(Tilgungsplan!$B$4:$B$603,18,Tilgungsplan!$E$4:$E$603)+SUMIF(Tilgungsplan!$B$4:$B$603,18,Tilgungsplan!$J$4:$J$603))</f>
        <v>17159.524273113737</v>
      </c>
      <c r="T111" s="62">
        <f>IF(19&gt;$B$70,0,SUMIF(Tilgungsplan!$B$4:$B$603,19,Tilgungsplan!$E$4:$E$603)+SUMIF(Tilgungsplan!$B$4:$B$603,19,Tilgungsplan!$J$4:$J$603))</f>
        <v>17159.524273113737</v>
      </c>
      <c r="U111" s="62">
        <f>IF(20&gt;$B$70,0,SUMIF(Tilgungsplan!$B$4:$B$603,20,Tilgungsplan!$E$4:$E$603)+SUMIF(Tilgungsplan!$B$4:$B$603,20,Tilgungsplan!$J$4:$J$603))</f>
        <v>17159.524273113737</v>
      </c>
      <c r="V111" s="62">
        <f>IF(21&gt;$B$70,0,SUMIF(Tilgungsplan!$B$4:$B$603,21,Tilgungsplan!$E$4:$E$603)+SUMIF(Tilgungsplan!$B$4:$B$603,21,Tilgungsplan!$J$4:$J$603))</f>
        <v>17159.524273113737</v>
      </c>
      <c r="W111" s="62">
        <f>IF(22&gt;$B$70,0,SUMIF(Tilgungsplan!$B$4:$B$603,22,Tilgungsplan!$E$4:$E$603)+SUMIF(Tilgungsplan!$B$4:$B$603,22,Tilgungsplan!$J$4:$J$603))</f>
        <v>17159.524273113737</v>
      </c>
      <c r="X111" s="62">
        <f>IF(23&gt;$B$70,0,SUMIF(Tilgungsplan!$B$4:$B$603,23,Tilgungsplan!$E$4:$E$603)+SUMIF(Tilgungsplan!$B$4:$B$603,23,Tilgungsplan!$J$4:$J$603))</f>
        <v>17159.524273113737</v>
      </c>
      <c r="Y111" s="62">
        <f>IF(24&gt;$B$70,0,SUMIF(Tilgungsplan!$B$4:$B$603,24,Tilgungsplan!$E$4:$E$603)+SUMIF(Tilgungsplan!$B$4:$B$603,24,Tilgungsplan!$J$4:$J$603))</f>
        <v>17159.524273113737</v>
      </c>
      <c r="Z111" s="62">
        <f>IF(25&gt;$B$70,0,SUMIF(Tilgungsplan!$B$4:$B$603,25,Tilgungsplan!$E$4:$E$603)+SUMIF(Tilgungsplan!$B$4:$B$603,25,Tilgungsplan!$J$4:$J$603))</f>
        <v>17159.524273113737</v>
      </c>
      <c r="AA111" s="62">
        <f>IF(26&gt;$B$70,0,SUMIF(Tilgungsplan!$B$4:$B$603,26,Tilgungsplan!$E$4:$E$603)+SUMIF(Tilgungsplan!$B$4:$B$603,26,Tilgungsplan!$J$4:$J$603))</f>
        <v>17159.524273113737</v>
      </c>
      <c r="AB111" s="62">
        <f>IF(27&gt;$B$70,0,SUMIF(Tilgungsplan!$B$4:$B$603,27,Tilgungsplan!$E$4:$E$603)+SUMIF(Tilgungsplan!$B$4:$B$603,27,Tilgungsplan!$J$4:$J$603))</f>
        <v>17159.524273113737</v>
      </c>
      <c r="AC111" s="62">
        <f>IF(28&gt;$B$70,0,SUMIF(Tilgungsplan!$B$4:$B$603,28,Tilgungsplan!$E$4:$E$603)+SUMIF(Tilgungsplan!$B$4:$B$603,28,Tilgungsplan!$J$4:$J$603))</f>
        <v>17159.524273113737</v>
      </c>
      <c r="AD111" s="62">
        <f>IF(29&gt;$B$70,0,SUMIF(Tilgungsplan!$B$4:$B$603,29,Tilgungsplan!$E$4:$E$603)+SUMIF(Tilgungsplan!$B$4:$B$603,29,Tilgungsplan!$J$4:$J$603))</f>
        <v>17159.524273113737</v>
      </c>
      <c r="AE111" s="62">
        <f>IF(30&gt;$B$70,0,SUMIF(Tilgungsplan!$B$4:$B$603,30,Tilgungsplan!$E$4:$E$603)+SUMIF(Tilgungsplan!$B$4:$B$603,30,Tilgungsplan!$J$4:$J$603))</f>
        <v>17159.524273113631</v>
      </c>
    </row>
    <row r="112" spans="1:31" ht="15" customHeight="1" x14ac:dyDescent="0.25">
      <c r="A112" s="14" t="s">
        <v>155</v>
      </c>
      <c r="B112" s="76">
        <f t="shared" ref="B112:AE112" si="5">B105-B106-B111+B110</f>
        <v>1610.7017117985579</v>
      </c>
      <c r="C112" s="76">
        <f t="shared" si="5"/>
        <v>-4679.8446257441683</v>
      </c>
      <c r="D112" s="76">
        <f t="shared" si="5"/>
        <v>-4671.8013835606043</v>
      </c>
      <c r="E112" s="76">
        <f t="shared" si="5"/>
        <v>-4665.2517745510304</v>
      </c>
      <c r="F112" s="76">
        <f t="shared" si="5"/>
        <v>-4660.282585100611</v>
      </c>
      <c r="G112" s="76">
        <f t="shared" si="5"/>
        <v>-4656.98431327659</v>
      </c>
      <c r="H112" s="76">
        <f t="shared" si="5"/>
        <v>-4655.4513121332693</v>
      </c>
      <c r="I112" s="76">
        <f t="shared" si="5"/>
        <v>-4655.7819383095803</v>
      </c>
      <c r="J112" s="76">
        <f t="shared" si="5"/>
        <v>-4658.0787061106021</v>
      </c>
      <c r="K112" s="76">
        <f t="shared" si="5"/>
        <v>-4662.448447271332</v>
      </c>
      <c r="L112" s="76">
        <f t="shared" si="5"/>
        <v>-4669.0024766080032</v>
      </c>
      <c r="M112" s="76">
        <f t="shared" si="5"/>
        <v>-4677.8567637696733</v>
      </c>
      <c r="N112" s="76">
        <f t="shared" si="5"/>
        <v>-4689.1321113104023</v>
      </c>
      <c r="O112" s="76">
        <f t="shared" si="5"/>
        <v>-4702.9543393101703</v>
      </c>
      <c r="P112" s="76">
        <f t="shared" si="5"/>
        <v>-4719.4544767809066</v>
      </c>
      <c r="Q112" s="76">
        <f t="shared" si="5"/>
        <v>-4738.7689601024504</v>
      </c>
      <c r="R112" s="76">
        <f t="shared" si="5"/>
        <v>-4761.0398387419527</v>
      </c>
      <c r="S112" s="76">
        <f t="shared" si="5"/>
        <v>-4786.4149885193965</v>
      </c>
      <c r="T112" s="76">
        <f t="shared" si="5"/>
        <v>-4815.0483326911963</v>
      </c>
      <c r="U112" s="76">
        <f t="shared" si="5"/>
        <v>-4847.1000711336646</v>
      </c>
      <c r="V112" s="76">
        <f t="shared" si="5"/>
        <v>-4882.7369179180823</v>
      </c>
      <c r="W112" s="76">
        <f t="shared" si="5"/>
        <v>-4922.1323475796689</v>
      </c>
      <c r="X112" s="76">
        <f t="shared" si="5"/>
        <v>-4965.4668503934363</v>
      </c>
      <c r="Y112" s="76">
        <f t="shared" si="5"/>
        <v>-5012.9281969811645</v>
      </c>
      <c r="Z112" s="76">
        <f t="shared" si="5"/>
        <v>-5064.7117125852828</v>
      </c>
      <c r="AA112" s="76">
        <f t="shared" si="5"/>
        <v>-5121.020561357429</v>
      </c>
      <c r="AB112" s="76">
        <f t="shared" si="5"/>
        <v>-5182.0660410219298</v>
      </c>
      <c r="AC112" s="76">
        <f t="shared" si="5"/>
        <v>-5248.0678882872417</v>
      </c>
      <c r="AD112" s="76">
        <f t="shared" si="5"/>
        <v>-5319.2545953917452</v>
      </c>
      <c r="AE112" s="76">
        <f t="shared" si="5"/>
        <v>-5395.8637381839944</v>
      </c>
    </row>
    <row r="113" spans="1:31" ht="15" customHeight="1" x14ac:dyDescent="0.25">
      <c r="A113" s="14" t="s">
        <v>156</v>
      </c>
      <c r="B113" s="76">
        <f>IF(1&gt;$B$70,0,IFERROR(INDEX(Tilgungsplan!$I$4:$I$603,1*12),0))</f>
        <v>312333.6328338203</v>
      </c>
      <c r="C113" s="76">
        <f>IF(2&gt;$B$70,0,IFERROR(INDEX(Tilgungsplan!$I$4:$I$603,2*12),0))</f>
        <v>306004.90295920556</v>
      </c>
      <c r="D113" s="76">
        <f>IF(3&gt;$B$70,0,IFERROR(INDEX(Tilgungsplan!$I$4:$I$603,3*12),0))</f>
        <v>299451.07944693259</v>
      </c>
      <c r="E113" s="76">
        <f>IF(4&gt;$B$70,0,IFERROR(INDEX(Tilgungsplan!$I$4:$I$603,4*12),0))</f>
        <v>292664.15640218242</v>
      </c>
      <c r="F113" s="76">
        <f>IF(5&gt;$B$70,0,IFERROR(INDEX(Tilgungsplan!$I$4:$I$603,5*12),0))</f>
        <v>285635.84318485169</v>
      </c>
      <c r="G113" s="76">
        <f>IF(6&gt;$B$70,0,IFERROR(INDEX(Tilgungsplan!$I$4:$I$603,6*12),0))</f>
        <v>278357.55428203067</v>
      </c>
      <c r="H113" s="76">
        <f>IF(7&gt;$B$70,0,IFERROR(INDEX(Tilgungsplan!$I$4:$I$603,7*12),0))</f>
        <v>270820.39882027579</v>
      </c>
      <c r="I113" s="76">
        <f>IF(8&gt;$B$70,0,IFERROR(INDEX(Tilgungsplan!$I$4:$I$603,8*12),0))</f>
        <v>263015.16970486619</v>
      </c>
      <c r="J113" s="76">
        <f>IF(9&gt;$B$70,0,IFERROR(INDEX(Tilgungsplan!$I$4:$I$603,9*12),0))</f>
        <v>254932.33237277635</v>
      </c>
      <c r="K113" s="76">
        <f>IF(10&gt;$B$70,0,IFERROR(INDEX(Tilgungsplan!$I$4:$I$603,10*12),0))</f>
        <v>246562.01314562609</v>
      </c>
      <c r="L113" s="76">
        <f>IF(11&gt;$B$70,0,IFERROR(INDEX(Tilgungsplan!$I$4:$I$603,11*12),0))</f>
        <v>237893.98716838105</v>
      </c>
      <c r="M113" s="76">
        <f>IF(12&gt;$B$70,0,IFERROR(INDEX(Tilgungsplan!$I$4:$I$603,12*12),0))</f>
        <v>228917.66591906891</v>
      </c>
      <c r="N113" s="76">
        <f>IF(13&gt;$B$70,0,IFERROR(INDEX(Tilgungsplan!$I$4:$I$603,13*12),0))</f>
        <v>219622.08427425459</v>
      </c>
      <c r="O113" s="76">
        <f>IF(14&gt;$B$70,0,IFERROR(INDEX(Tilgungsplan!$I$4:$I$603,14*12),0))</f>
        <v>209995.88711447373</v>
      </c>
      <c r="P113" s="76">
        <f>IF(15&gt;$B$70,0,IFERROR(INDEX(Tilgungsplan!$I$4:$I$603,15*12),0))</f>
        <v>200027.31545326227</v>
      </c>
      <c r="Q113" s="76">
        <f>IF(16&gt;$B$70,0,IFERROR(INDEX(Tilgungsplan!$I$4:$I$603,16*12),0))</f>
        <v>189704.19207283793</v>
      </c>
      <c r="R113" s="76">
        <f>IF(17&gt;$B$70,0,IFERROR(INDEX(Tilgungsplan!$I$4:$I$603,17*12),0))</f>
        <v>179013.90664888662</v>
      </c>
      <c r="S113" s="76">
        <f>IF(18&gt;$B$70,0,IFERROR(INDEX(Tilgungsplan!$I$4:$I$603,18*12),0))</f>
        <v>167943.40034628264</v>
      </c>
      <c r="T113" s="76">
        <f>IF(19&gt;$B$70,0,IFERROR(INDEX(Tilgungsplan!$I$4:$I$603,19*12),0))</f>
        <v>156479.14986692596</v>
      </c>
      <c r="U113" s="76">
        <f>IF(20&gt;$B$70,0,IFERROR(INDEX(Tilgungsplan!$I$4:$I$603,20*12),0))</f>
        <v>144607.15093020906</v>
      </c>
      <c r="V113" s="76">
        <f>IF(21&gt;$B$70,0,IFERROR(INDEX(Tilgungsplan!$I$4:$I$603,21*12),0))</f>
        <v>132312.90116593539</v>
      </c>
      <c r="W113" s="76">
        <f>IF(22&gt;$B$70,0,IFERROR(INDEX(Tilgungsplan!$I$4:$I$603,22*12),0))</f>
        <v>119581.38239878978</v>
      </c>
      <c r="X113" s="76">
        <f>IF(23&gt;$B$70,0,IFERROR(INDEX(Tilgungsplan!$I$4:$I$603,23*12),0))</f>
        <v>106397.04230272236</v>
      </c>
      <c r="Y113" s="76">
        <f>IF(24&gt;$B$70,0,IFERROR(INDEX(Tilgungsplan!$I$4:$I$603,24*12),0))</f>
        <v>92743.77540283445</v>
      </c>
      <c r="Z113" s="76">
        <f>IF(25&gt;$B$70,0,IFERROR(INDEX(Tilgungsplan!$I$4:$I$603,25*12),0))</f>
        <v>78604.903401559452</v>
      </c>
      <c r="AA113" s="76">
        <f>IF(26&gt;$B$70,0,IFERROR(INDEX(Tilgungsplan!$I$4:$I$603,26*12),0))</f>
        <v>63963.154805106002</v>
      </c>
      <c r="AB113" s="76">
        <f>IF(27&gt;$B$70,0,IFERROR(INDEX(Tilgungsplan!$I$4:$I$603,27*12),0))</f>
        <v>48800.643825275765</v>
      </c>
      <c r="AC113" s="76">
        <f>IF(28&gt;$B$70,0,IFERROR(INDEX(Tilgungsplan!$I$4:$I$603,28*12),0))</f>
        <v>33098.848530883144</v>
      </c>
      <c r="AD113" s="76">
        <f>IF(29&gt;$B$70,0,IFERROR(INDEX(Tilgungsplan!$I$4:$I$603,29*12),0))</f>
        <v>16838.588222087601</v>
      </c>
      <c r="AE113" s="76">
        <f>IF(30&gt;$B$70,0,IFERROR(INDEX(Tilgungsplan!$I$4:$I$603,30*12),0))</f>
        <v>0</v>
      </c>
    </row>
    <row r="114" spans="1:31" ht="15" customHeight="1" x14ac:dyDescent="0.25"/>
    <row r="115" spans="1:31" ht="15" customHeight="1" x14ac:dyDescent="0.25"/>
    <row r="116" spans="1:31" ht="15" customHeight="1" x14ac:dyDescent="0.25"/>
    <row r="117" spans="1:31" ht="15" customHeight="1" x14ac:dyDescent="0.25"/>
    <row r="118" spans="1:31" ht="15" customHeight="1" x14ac:dyDescent="0.25"/>
    <row r="119" spans="1:31" ht="15" customHeight="1" x14ac:dyDescent="0.25"/>
    <row r="120" spans="1:31" ht="15" customHeight="1" x14ac:dyDescent="0.25"/>
    <row r="121" spans="1:31" ht="15" customHeight="1" x14ac:dyDescent="0.25"/>
    <row r="122" spans="1:31" ht="15" customHeight="1" x14ac:dyDescent="0.25"/>
    <row r="123" spans="1:31" ht="15" customHeight="1" x14ac:dyDescent="0.25"/>
    <row r="124" spans="1:31" ht="15" customHeight="1" x14ac:dyDescent="0.25"/>
    <row r="125" spans="1:31" ht="15" customHeight="1" x14ac:dyDescent="0.25"/>
    <row r="126" spans="1:31" ht="15" customHeight="1" x14ac:dyDescent="0.25"/>
    <row r="127" spans="1:31" ht="15" customHeight="1" x14ac:dyDescent="0.25"/>
    <row r="128" spans="1:31" ht="15" customHeight="1" x14ac:dyDescent="0.25"/>
  </sheetData>
  <mergeCells count="14">
    <mergeCell ref="A1:AE1"/>
    <mergeCell ref="A7:A8"/>
    <mergeCell ref="A36:B36"/>
    <mergeCell ref="A4:F4"/>
    <mergeCell ref="A17:B17"/>
    <mergeCell ref="A5:A6"/>
    <mergeCell ref="A26:B26"/>
    <mergeCell ref="A60:B60"/>
    <mergeCell ref="A95:B95"/>
    <mergeCell ref="A76:B76"/>
    <mergeCell ref="A51:B51"/>
    <mergeCell ref="A10:B10"/>
    <mergeCell ref="A85:B85"/>
    <mergeCell ref="A61:B61"/>
  </mergeCells>
  <conditionalFormatting sqref="A57">
    <cfRule type="expression" dxfId="18" priority="6">
      <formula>AND(ISNUMBER($B$55),$B$55&gt;0.15)</formula>
    </cfRule>
  </conditionalFormatting>
  <conditionalFormatting sqref="A56:B56">
    <cfRule type="expression" dxfId="17" priority="5">
      <formula>AND(ISNUMBER($B$55),$B$55&gt;0.15)</formula>
    </cfRule>
  </conditionalFormatting>
  <conditionalFormatting sqref="B18:B20">
    <cfRule type="cellIs" dxfId="16" priority="7" operator="lessThan">
      <formula>0</formula>
    </cfRule>
  </conditionalFormatting>
  <conditionalFormatting sqref="B22">
    <cfRule type="cellIs" dxfId="15" priority="10" operator="lessThan">
      <formula>0</formula>
    </cfRule>
  </conditionalFormatting>
  <conditionalFormatting sqref="B24:B25">
    <cfRule type="cellIs" dxfId="14" priority="11" operator="lessThan">
      <formula>0</formula>
    </cfRule>
  </conditionalFormatting>
  <conditionalFormatting sqref="B55">
    <cfRule type="expression" dxfId="13" priority="4">
      <formula>AND(ISNUMBER($B$55),$B$55&gt;0.15)</formula>
    </cfRule>
  </conditionalFormatting>
  <conditionalFormatting sqref="B112">
    <cfRule type="cellIs" dxfId="12" priority="17" operator="lessThan">
      <formula>0</formula>
    </cfRule>
  </conditionalFormatting>
  <conditionalFormatting sqref="D6:E6">
    <cfRule type="cellIs" dxfId="11" priority="13" operator="lessThan">
      <formula>0</formula>
    </cfRule>
  </conditionalFormatting>
  <conditionalFormatting sqref="G6:H6">
    <cfRule type="cellIs" dxfId="10" priority="15" operator="lessThan">
      <formula>0</formula>
    </cfRule>
  </conditionalFormatting>
  <dataValidations count="1">
    <dataValidation type="list" showErrorMessage="1" errorTitle="Eingabe" error="Bitte 0 (Nein) oder 1 (Ja) wählen." promptTitle="Anschlussfinanzierung" prompt="0 = klassischer 30-Jahre-Kredit | 1 = Refinanzierung nach Zinsbindung" sqref="B71" xr:uid="{00000000-0002-0000-0100-000000000000}">
      <formula1>"0,1"</formula1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4C7DC"/>
  </sheetPr>
  <dimension ref="A1:F85"/>
  <sheetViews>
    <sheetView showGridLines="0" zoomScale="80" zoomScaleNormal="80" workbookViewId="0">
      <pane xSplit="1" ySplit="5" topLeftCell="B30" activePane="bottomRight" state="frozen"/>
      <selection pane="topRight" activeCell="B1" sqref="B1"/>
      <selection pane="bottomLeft" activeCell="A21" sqref="A21"/>
      <selection pane="bottomRight" activeCell="A79" sqref="A79"/>
    </sheetView>
  </sheetViews>
  <sheetFormatPr baseColWidth="10" defaultColWidth="8.7109375" defaultRowHeight="15" x14ac:dyDescent="0.25"/>
  <cols>
    <col min="1" max="1" width="42" style="97" customWidth="1"/>
    <col min="2" max="4" width="18" style="97" customWidth="1"/>
    <col min="5" max="5" width="13.85546875" style="97" customWidth="1"/>
    <col min="6" max="6" width="12.85546875" style="97" customWidth="1"/>
  </cols>
  <sheetData>
    <row r="1" spans="1:4" ht="30" customHeight="1" x14ac:dyDescent="0.25">
      <c r="A1" s="108" t="s">
        <v>157</v>
      </c>
      <c r="B1" s="106"/>
      <c r="C1" s="106"/>
      <c r="D1" s="106"/>
    </row>
    <row r="2" spans="1:4" ht="27.95" customHeight="1" x14ac:dyDescent="0.25">
      <c r="A2" s="107" t="s">
        <v>158</v>
      </c>
      <c r="B2" s="106"/>
      <c r="C2" s="106"/>
      <c r="D2" s="106"/>
    </row>
    <row r="3" spans="1:4" ht="15" customHeight="1" x14ac:dyDescent="0.25"/>
    <row r="4" spans="1:4" ht="15" customHeight="1" x14ac:dyDescent="0.25">
      <c r="A4" s="105" t="s">
        <v>159</v>
      </c>
      <c r="B4" s="106"/>
      <c r="C4" s="106"/>
      <c r="D4" s="106"/>
    </row>
    <row r="5" spans="1:4" ht="15" customHeight="1" x14ac:dyDescent="0.25">
      <c r="A5" s="2" t="s">
        <v>160</v>
      </c>
      <c r="B5" s="3" t="s">
        <v>161</v>
      </c>
      <c r="C5" s="3" t="s">
        <v>162</v>
      </c>
      <c r="D5" s="3" t="s">
        <v>163</v>
      </c>
    </row>
    <row r="6" spans="1:4" ht="15" customHeight="1" x14ac:dyDescent="0.25">
      <c r="A6" s="5" t="s">
        <v>164</v>
      </c>
      <c r="B6" s="77">
        <v>0.15</v>
      </c>
      <c r="C6" s="77">
        <v>0</v>
      </c>
      <c r="D6" s="77">
        <v>-0.1</v>
      </c>
    </row>
    <row r="7" spans="1:4" ht="15" customHeight="1" x14ac:dyDescent="0.25">
      <c r="A7" s="5" t="s">
        <v>94</v>
      </c>
      <c r="B7" s="77">
        <v>-0.15</v>
      </c>
      <c r="C7" s="77">
        <v>0</v>
      </c>
      <c r="D7" s="77">
        <v>0.1</v>
      </c>
    </row>
    <row r="8" spans="1:4" ht="15" customHeight="1" x14ac:dyDescent="0.25">
      <c r="A8" s="5" t="s">
        <v>165</v>
      </c>
      <c r="B8" s="77">
        <v>0.15</v>
      </c>
      <c r="C8" s="77">
        <v>0</v>
      </c>
      <c r="D8" s="77">
        <v>-0.1</v>
      </c>
    </row>
    <row r="9" spans="1:4" ht="15" customHeight="1" x14ac:dyDescent="0.25">
      <c r="A9" s="5" t="s">
        <v>166</v>
      </c>
      <c r="B9" s="77">
        <v>-0.15</v>
      </c>
      <c r="C9" s="77">
        <v>0</v>
      </c>
      <c r="D9" s="77">
        <v>0.1</v>
      </c>
    </row>
    <row r="10" spans="1:4" ht="15" customHeight="1" x14ac:dyDescent="0.25">
      <c r="A10" s="5" t="s">
        <v>167</v>
      </c>
      <c r="B10" s="77">
        <v>-0.15</v>
      </c>
      <c r="C10" s="77">
        <v>0</v>
      </c>
      <c r="D10" s="77">
        <v>0.1</v>
      </c>
    </row>
    <row r="11" spans="1:4" ht="15" customHeight="1" x14ac:dyDescent="0.25">
      <c r="A11" s="5" t="s">
        <v>168</v>
      </c>
      <c r="B11" s="77">
        <v>0.15</v>
      </c>
      <c r="C11" s="77">
        <v>0</v>
      </c>
      <c r="D11" s="77">
        <v>-0.1</v>
      </c>
    </row>
    <row r="12" spans="1:4" ht="15" customHeight="1" x14ac:dyDescent="0.25">
      <c r="A12" s="5" t="s">
        <v>169</v>
      </c>
      <c r="B12" s="77">
        <v>0.15</v>
      </c>
      <c r="C12" s="77">
        <v>0</v>
      </c>
      <c r="D12" s="77">
        <v>-0.1</v>
      </c>
    </row>
    <row r="13" spans="1:4" ht="15" customHeight="1" x14ac:dyDescent="0.25">
      <c r="A13" s="5" t="s">
        <v>170</v>
      </c>
      <c r="B13" s="77">
        <v>-0.15</v>
      </c>
      <c r="C13" s="77">
        <v>0</v>
      </c>
      <c r="D13" s="77">
        <v>0.1</v>
      </c>
    </row>
    <row r="14" spans="1:4" ht="15" customHeight="1" x14ac:dyDescent="0.25">
      <c r="A14" s="5" t="s">
        <v>171</v>
      </c>
      <c r="B14" s="77">
        <v>0.15</v>
      </c>
      <c r="C14" s="77">
        <v>0</v>
      </c>
      <c r="D14" s="77">
        <v>-0.1</v>
      </c>
    </row>
    <row r="15" spans="1:4" ht="15" customHeight="1" x14ac:dyDescent="0.25">
      <c r="A15" s="5" t="s">
        <v>172</v>
      </c>
      <c r="B15" s="77">
        <v>0.15</v>
      </c>
      <c r="C15" s="77">
        <v>0</v>
      </c>
      <c r="D15" s="77">
        <v>-0.1</v>
      </c>
    </row>
    <row r="16" spans="1:4" ht="15" customHeight="1" x14ac:dyDescent="0.25"/>
    <row r="17" spans="1:4" ht="15" customHeight="1" x14ac:dyDescent="0.25">
      <c r="A17" s="105" t="s">
        <v>173</v>
      </c>
      <c r="B17" s="106"/>
      <c r="C17" s="106"/>
      <c r="D17" s="106"/>
    </row>
    <row r="18" spans="1:4" ht="15" customHeight="1" x14ac:dyDescent="0.25">
      <c r="A18" s="2" t="s">
        <v>160</v>
      </c>
      <c r="B18" s="3" t="s">
        <v>161</v>
      </c>
      <c r="C18" s="3" t="s">
        <v>162</v>
      </c>
      <c r="D18" s="3" t="s">
        <v>163</v>
      </c>
    </row>
    <row r="19" spans="1:4" ht="15" customHeight="1" x14ac:dyDescent="0.25">
      <c r="A19" s="5" t="s">
        <v>164</v>
      </c>
      <c r="B19" s="51">
        <f>'Immobilien-Kalkulation'!B27*(1+B6)</f>
        <v>402499.99999999994</v>
      </c>
      <c r="C19" s="51">
        <f>'Immobilien-Kalkulation'!B27*(1+C6)</f>
        <v>350000</v>
      </c>
      <c r="D19" s="51">
        <f>'Immobilien-Kalkulation'!B27*(1+D6)</f>
        <v>315000</v>
      </c>
    </row>
    <row r="20" spans="1:4" ht="15" customHeight="1" x14ac:dyDescent="0.25">
      <c r="A20" s="5" t="s">
        <v>94</v>
      </c>
      <c r="B20" s="52">
        <f>'Immobilien-Kalkulation'!B77*(1+B7)</f>
        <v>10.625</v>
      </c>
      <c r="C20" s="52">
        <f>'Immobilien-Kalkulation'!B77*(1+C7)</f>
        <v>12.5</v>
      </c>
      <c r="D20" s="52">
        <f>'Immobilien-Kalkulation'!B77*(1+D7)</f>
        <v>13.750000000000002</v>
      </c>
    </row>
    <row r="21" spans="1:4" ht="15" customHeight="1" x14ac:dyDescent="0.25">
      <c r="A21" s="5" t="s">
        <v>165</v>
      </c>
      <c r="B21" s="78">
        <f>'Immobilien-Kalkulation'!B65*(1+B8)</f>
        <v>4.0250000000000001E-2</v>
      </c>
      <c r="C21" s="78">
        <f>'Immobilien-Kalkulation'!B65*(1+C8)</f>
        <v>3.5000000000000003E-2</v>
      </c>
      <c r="D21" s="78">
        <f>'Immobilien-Kalkulation'!B65*(1+D8)</f>
        <v>3.1500000000000007E-2</v>
      </c>
    </row>
    <row r="22" spans="1:4" ht="15" customHeight="1" x14ac:dyDescent="0.25">
      <c r="A22" s="5" t="s">
        <v>166</v>
      </c>
      <c r="B22" s="78">
        <f>'Immobilien-Kalkulation'!B66*(1+B9)</f>
        <v>1.6052558156500096E-2</v>
      </c>
      <c r="C22" s="78">
        <f>'Immobilien-Kalkulation'!B66*(1+C9)</f>
        <v>1.8885362537058935E-2</v>
      </c>
      <c r="D22" s="78">
        <f>'Immobilien-Kalkulation'!B66*(1+D9)</f>
        <v>2.0773898790764831E-2</v>
      </c>
    </row>
    <row r="23" spans="1:4" ht="15" customHeight="1" x14ac:dyDescent="0.25">
      <c r="A23" s="5" t="s">
        <v>167</v>
      </c>
      <c r="B23" s="78">
        <f>'Immobilien-Kalkulation'!B83*(1+B10)</f>
        <v>1.7000000000000001E-2</v>
      </c>
      <c r="C23" s="78">
        <f>'Immobilien-Kalkulation'!B83*(1+C10)</f>
        <v>0.02</v>
      </c>
      <c r="D23" s="78">
        <f>'Immobilien-Kalkulation'!B83*(1+D10)</f>
        <v>2.2000000000000002E-2</v>
      </c>
    </row>
    <row r="24" spans="1:4" ht="15" customHeight="1" x14ac:dyDescent="0.25">
      <c r="A24" s="5" t="s">
        <v>168</v>
      </c>
      <c r="B24" s="51">
        <f>'Immobilien-Kalkulation'!B93*(1+B11)</f>
        <v>2829</v>
      </c>
      <c r="C24" s="51">
        <f>'Immobilien-Kalkulation'!B93*(1+C11)</f>
        <v>2460</v>
      </c>
      <c r="D24" s="51">
        <f>'Immobilien-Kalkulation'!B93*(1+D11)</f>
        <v>2214</v>
      </c>
    </row>
    <row r="25" spans="1:4" ht="15" customHeight="1" x14ac:dyDescent="0.25">
      <c r="A25" s="5" t="s">
        <v>169</v>
      </c>
      <c r="B25" s="78">
        <f>'Immobilien-Kalkulation'!B80*(1+B12)</f>
        <v>2.3E-2</v>
      </c>
      <c r="C25" s="78">
        <f>'Immobilien-Kalkulation'!B80*(1+C12)</f>
        <v>0.02</v>
      </c>
      <c r="D25" s="78">
        <f>'Immobilien-Kalkulation'!B80*(1+D12)</f>
        <v>1.8000000000000002E-2</v>
      </c>
    </row>
    <row r="26" spans="1:4" ht="15" customHeight="1" x14ac:dyDescent="0.25">
      <c r="A26" s="5" t="s">
        <v>170</v>
      </c>
      <c r="B26" s="78">
        <f>'Immobilien-Kalkulation'!B12*(1+B13)</f>
        <v>2.1250000000000002E-2</v>
      </c>
      <c r="C26" s="78">
        <f>'Immobilien-Kalkulation'!B12*(1+C13)</f>
        <v>2.5000000000000001E-2</v>
      </c>
      <c r="D26" s="78">
        <f>'Immobilien-Kalkulation'!B12*(1+D13)</f>
        <v>2.7500000000000004E-2</v>
      </c>
    </row>
    <row r="27" spans="1:4" ht="15" customHeight="1" x14ac:dyDescent="0.25">
      <c r="A27" s="5" t="s">
        <v>171</v>
      </c>
      <c r="B27" s="51">
        <f>'Immobilien-Kalkulation'!B92*(1+B14)</f>
        <v>172.5</v>
      </c>
      <c r="C27" s="51">
        <f>'Immobilien-Kalkulation'!B92*(1+C14)</f>
        <v>150</v>
      </c>
      <c r="D27" s="51">
        <f>'Immobilien-Kalkulation'!B92*(1+D14)</f>
        <v>135</v>
      </c>
    </row>
    <row r="28" spans="1:4" ht="15" customHeight="1" x14ac:dyDescent="0.25">
      <c r="A28" s="5" t="s">
        <v>172</v>
      </c>
      <c r="B28" s="51">
        <f>'Immobilien-Kalkulation'!B87*(1+B15)</f>
        <v>919.99999999999989</v>
      </c>
      <c r="C28" s="51">
        <f>'Immobilien-Kalkulation'!B87*(1+C15)</f>
        <v>800</v>
      </c>
      <c r="D28" s="51">
        <f>'Immobilien-Kalkulation'!B87*(1+D15)</f>
        <v>720</v>
      </c>
    </row>
    <row r="29" spans="1:4" ht="15" customHeight="1" x14ac:dyDescent="0.25">
      <c r="A29" s="5" t="s">
        <v>174</v>
      </c>
      <c r="B29" s="29">
        <v>0.06</v>
      </c>
      <c r="C29" s="30">
        <f>'Immobilien-Kalkulation'!B73</f>
        <v>0.04</v>
      </c>
      <c r="D29" s="29">
        <v>2.5000000000000001E-2</v>
      </c>
    </row>
    <row r="30" spans="1:4" ht="15" customHeight="1" x14ac:dyDescent="0.25">
      <c r="A30" s="105" t="s">
        <v>175</v>
      </c>
      <c r="B30" s="106"/>
      <c r="C30" s="106"/>
      <c r="D30" s="106"/>
    </row>
    <row r="31" spans="1:4" ht="15" customHeight="1" x14ac:dyDescent="0.25">
      <c r="A31" s="2" t="s">
        <v>160</v>
      </c>
      <c r="B31" s="3" t="s">
        <v>161</v>
      </c>
      <c r="C31" s="3" t="s">
        <v>162</v>
      </c>
      <c r="D31" s="3" t="s">
        <v>163</v>
      </c>
    </row>
    <row r="32" spans="1:4" ht="15" customHeight="1" x14ac:dyDescent="0.25">
      <c r="A32" s="5" t="s">
        <v>176</v>
      </c>
      <c r="B32" s="71">
        <f>B20*'Immobilien-Kalkulation'!B28*12</f>
        <v>10200</v>
      </c>
      <c r="C32" s="71">
        <f>C20*'Immobilien-Kalkulation'!B28*12</f>
        <v>12000</v>
      </c>
      <c r="D32" s="71">
        <f>D20*'Immobilien-Kalkulation'!B28*12</f>
        <v>13200.000000000004</v>
      </c>
    </row>
    <row r="33" spans="1:4" ht="15" customHeight="1" x14ac:dyDescent="0.25">
      <c r="A33" s="5" t="s">
        <v>13</v>
      </c>
      <c r="B33" s="71">
        <f>B19+B19*('Immobilien-Kalkulation'!$B$37+'Immobilien-Kalkulation'!$B$39+'Immobilien-Kalkulation'!$B$41+'Immobilien-Kalkulation'!$B$43)+'Immobilien-Kalkulation'!$B$45+'Immobilien-Kalkulation'!$B$46+'Immobilien-Kalkulation'!$B$47</f>
        <v>455706.74999999994</v>
      </c>
      <c r="C33" s="71">
        <f>C19+C19*('Immobilien-Kalkulation'!$B$37+'Immobilien-Kalkulation'!$B$39+'Immobilien-Kalkulation'!$B$41+'Immobilien-Kalkulation'!$B$43)+'Immobilien-Kalkulation'!$B$45+'Immobilien-Kalkulation'!$B$46+'Immobilien-Kalkulation'!$B$47</f>
        <v>398445</v>
      </c>
      <c r="D33" s="71">
        <f>D19+D19*('Immobilien-Kalkulation'!$B$37+'Immobilien-Kalkulation'!$B$39+'Immobilien-Kalkulation'!$B$41+'Immobilien-Kalkulation'!$B$43)+'Immobilien-Kalkulation'!$B$45+'Immobilien-Kalkulation'!$B$46+'Immobilien-Kalkulation'!$B$47</f>
        <v>360270.5</v>
      </c>
    </row>
    <row r="34" spans="1:4" ht="15" customHeight="1" x14ac:dyDescent="0.25">
      <c r="A34" s="5" t="s">
        <v>14</v>
      </c>
      <c r="B34" s="71">
        <f>B33-'Immobilien-Kalkulation'!$B$63</f>
        <v>375706.74999999994</v>
      </c>
      <c r="C34" s="71">
        <f>C33-'Immobilien-Kalkulation'!$B$63</f>
        <v>318445</v>
      </c>
      <c r="D34" s="71">
        <f>D33-'Immobilien-Kalkulation'!$B$63</f>
        <v>280270.5</v>
      </c>
    </row>
    <row r="35" spans="1:4" ht="15" customHeight="1" x14ac:dyDescent="0.25">
      <c r="A35" s="5" t="s">
        <v>177</v>
      </c>
      <c r="B35" s="71">
        <f>IFERROR(PMT(B21/12,'Immobilien-Kalkulation'!$B$70*12,-B34)*12,0)</f>
        <v>21589.208458510118</v>
      </c>
      <c r="C35" s="71">
        <f>'Immobilien-Kalkulation'!B111</f>
        <v>17159.524273113737</v>
      </c>
      <c r="D35" s="71">
        <f>IFERROR(PMT(D21/12,'Immobilien-Kalkulation'!$B$70*12,-D34)*12,0)</f>
        <v>14453.108520552954</v>
      </c>
    </row>
    <row r="36" spans="1:4" ht="15" customHeight="1" x14ac:dyDescent="0.25">
      <c r="A36" s="5" t="s">
        <v>178</v>
      </c>
      <c r="B36" s="71">
        <f>IFERROR(-CUMIPMT(B21/12,'Immobilien-Kalkulation'!$B$70*12,B34,1,12,0),B34*B21)</f>
        <v>15001.549799823129</v>
      </c>
      <c r="C36" s="71">
        <f>'Immobilien-Kalkulation'!B107</f>
        <v>11048.157106934035</v>
      </c>
      <c r="D36" s="71">
        <f>IFERROR(-CUMIPMT(D21/12,'Immobilien-Kalkulation'!$B$70*12,D34,1,12,0),D34*D21)</f>
        <v>8746.6010061073721</v>
      </c>
    </row>
    <row r="37" spans="1:4" ht="15" customHeight="1" x14ac:dyDescent="0.25">
      <c r="A37" s="5" t="s">
        <v>179</v>
      </c>
      <c r="B37" s="71">
        <f>('Immobilien-Kalkulation'!$B$96*B19+'Immobilien-Kalkulation'!$B$59)*'Immobilien-Kalkulation'!$B$98</f>
        <v>6440</v>
      </c>
      <c r="C37" s="71">
        <f>('Immobilien-Kalkulation'!$B$96*C19+'Immobilien-Kalkulation'!$B$59)*'Immobilien-Kalkulation'!$B$98</f>
        <v>5600</v>
      </c>
      <c r="D37" s="71">
        <f>('Immobilien-Kalkulation'!$B$96*D19+'Immobilien-Kalkulation'!$B$59)*'Immobilien-Kalkulation'!$B$98</f>
        <v>5040</v>
      </c>
    </row>
    <row r="38" spans="1:4" ht="15" customHeight="1" x14ac:dyDescent="0.25">
      <c r="A38" s="5" t="s">
        <v>180</v>
      </c>
      <c r="B38" s="71">
        <f>-((B32*(1-B25))-B24-B36-B37-'Immobilien-Kalkulation'!$B$101-'Immobilien-Kalkulation'!$B$58)*'Immobilien-Kalkulation'!$B$100</f>
        <v>12392.162915925714</v>
      </c>
      <c r="C38" s="71">
        <f>-((C32*(1-C25))-C24-C36-C37-'Immobilien-Kalkulation'!$B$101-'Immobilien-Kalkulation'!$B$58)*'Immobilien-Kalkulation'!$B$100</f>
        <v>9470.2259849122947</v>
      </c>
      <c r="D38" s="71">
        <f>-((D32*(1-D25))-D24-D36-D37-'Immobilien-Kalkulation'!$B$101-'Immobilien-Kalkulation'!$B$58)*'Immobilien-Kalkulation'!$B$100</f>
        <v>7660.0444225650936</v>
      </c>
    </row>
    <row r="39" spans="1:4" ht="15" customHeight="1" x14ac:dyDescent="0.25">
      <c r="A39" s="5" t="s">
        <v>181</v>
      </c>
      <c r="B39" s="71">
        <f>B85</f>
        <v>303213.26328495966</v>
      </c>
      <c r="C39" s="71">
        <f>C85</f>
        <v>246562.01314562609</v>
      </c>
      <c r="D39" s="71">
        <f>D85</f>
        <v>213061.30229639239</v>
      </c>
    </row>
    <row r="40" spans="1:4" ht="15" customHeight="1" x14ac:dyDescent="0.25">
      <c r="A40" s="5" t="s">
        <v>182</v>
      </c>
      <c r="B40" s="31">
        <f>B29</f>
        <v>0.06</v>
      </c>
      <c r="C40" s="31">
        <f>C29</f>
        <v>0.04</v>
      </c>
      <c r="D40" s="31">
        <f>D29</f>
        <v>2.5000000000000001E-2</v>
      </c>
    </row>
    <row r="41" spans="1:4" ht="15" customHeight="1" x14ac:dyDescent="0.25">
      <c r="A41" s="105" t="s">
        <v>183</v>
      </c>
      <c r="B41" s="106"/>
      <c r="C41" s="106"/>
      <c r="D41" s="106"/>
    </row>
    <row r="42" spans="1:4" ht="15" customHeight="1" x14ac:dyDescent="0.25">
      <c r="A42" s="2" t="s">
        <v>160</v>
      </c>
      <c r="B42" s="3" t="s">
        <v>161</v>
      </c>
      <c r="C42" s="3" t="s">
        <v>162</v>
      </c>
      <c r="D42" s="3" t="s">
        <v>163</v>
      </c>
    </row>
    <row r="43" spans="1:4" ht="15" customHeight="1" x14ac:dyDescent="0.25">
      <c r="A43" s="4" t="s">
        <v>26</v>
      </c>
      <c r="B43" s="79">
        <f>B53</f>
        <v>-1574.0165329146384</v>
      </c>
      <c r="C43" s="79">
        <f>'Immobilien-Kalkulation'!B112</f>
        <v>1610.7017117985579</v>
      </c>
      <c r="D43" s="79">
        <f>D53</f>
        <v>3792.0189639629443</v>
      </c>
    </row>
    <row r="44" spans="1:4" ht="15" customHeight="1" x14ac:dyDescent="0.25">
      <c r="A44" s="4" t="s">
        <v>4</v>
      </c>
      <c r="B44" s="80">
        <f>IFERROR(B32/B19,"—")</f>
        <v>2.5341614906832302E-2</v>
      </c>
      <c r="C44" s="80">
        <f>IFERROR(C32/C19,"—")</f>
        <v>3.4285714285714287E-2</v>
      </c>
      <c r="D44" s="80">
        <f>IFERROR(D32/D19,"—")</f>
        <v>4.1904761904761917E-2</v>
      </c>
    </row>
    <row r="45" spans="1:4" ht="15" customHeight="1" x14ac:dyDescent="0.25">
      <c r="A45" s="4" t="s">
        <v>5</v>
      </c>
      <c r="B45" s="80">
        <f>IFERROR((B32*(1-B25)-B24)/B33,"—")</f>
        <v>1.5660070867943039E-2</v>
      </c>
      <c r="C45" s="80">
        <f>IFERROR((C32*(1-C25)-C24)/C33,"—")</f>
        <v>2.334073711553665E-2</v>
      </c>
      <c r="D45" s="80">
        <f>IFERROR((D32*(1-D25)-D24)/D33,"—")</f>
        <v>2.9834249543051687E-2</v>
      </c>
    </row>
    <row r="46" spans="1:4" ht="15" customHeight="1" x14ac:dyDescent="0.25">
      <c r="A46" s="4" t="s">
        <v>6</v>
      </c>
      <c r="B46" s="81">
        <f>IFERROR(B84/'Immobilien-Kalkulation'!$B$63/'Immobilien-Kalkulation'!$B$11,"—")</f>
        <v>-9.3629188963915935E-2</v>
      </c>
      <c r="C46" s="81">
        <f>IFERROR('Realwert-Analyse'!B19/'Immobilien-Kalkulation'!$B$63/'Immobilien-Kalkulation'!$B$11,"—")</f>
        <v>-4.3365250225429294E-2</v>
      </c>
      <c r="D46" s="81">
        <f>IFERROR(D84/'Immobilien-Kalkulation'!$B$63/'Immobilien-Kalkulation'!$B$11,"—")</f>
        <v>-2.0252904724479971E-2</v>
      </c>
    </row>
    <row r="47" spans="1:4" ht="15" customHeight="1" x14ac:dyDescent="0.25">
      <c r="A47" s="4" t="s">
        <v>184</v>
      </c>
      <c r="B47" s="82">
        <f>IFERROR((B24+B35/(1-'Immobilien-Kalkulation'!$B$100)-'Immobilien-Kalkulation'!$B$100*(B36+B37+'Immobilien-Kalkulation'!$B$101+'Immobilien-Kalkulation'!$B$58)/(1-'Immobilien-Kalkulation'!$B$100))/(1-B25)/12,0)</f>
        <v>1153.0396743762287</v>
      </c>
      <c r="C47" s="82">
        <f>IFERROR((C24+C35/(1-'Immobilien-Kalkulation'!$B$100)-'Immobilien-Kalkulation'!$B$100*(C36+C37+'Immobilien-Kalkulation'!$B$101)/(1-'Immobilien-Kalkulation'!$B$100))/(1-C25)/12,0)</f>
        <v>1687.4997490325832</v>
      </c>
      <c r="D47" s="82">
        <f>IFERROR((D24+D35/(1-'Immobilien-Kalkulation'!$B$100)-'Immobilien-Kalkulation'!$B$100*(D36+D37+'Immobilien-Kalkulation'!$B$101+'Immobilien-Kalkulation'!$B$58)/(1-'Immobilien-Kalkulation'!$B$100))/(1-D25)/12,0)</f>
        <v>521.28779203652209</v>
      </c>
    </row>
    <row r="48" spans="1:4" ht="15" customHeight="1" x14ac:dyDescent="0.25">
      <c r="A48" s="4" t="s">
        <v>185</v>
      </c>
      <c r="B48" s="79">
        <f>B19*(1+B26)^'Immobilien-Kalkulation'!B11</f>
        <v>496691.33100468782</v>
      </c>
      <c r="C48" s="79">
        <f>C19*(1+C26)^'Immobilien-Kalkulation'!B11</f>
        <v>448029.59046872496</v>
      </c>
      <c r="D48" s="79">
        <f>D19*(1+D26)^'Immobilien-Kalkulation'!B11</f>
        <v>413170.07526483346</v>
      </c>
    </row>
    <row r="49" spans="1:6" ht="15" customHeight="1" x14ac:dyDescent="0.25">
      <c r="A49" s="4" t="s">
        <v>37</v>
      </c>
      <c r="B49" s="79">
        <f>B48*(1-'Exit-Analyse'!$B$5)-IF('Immobilien-Kalkulation'!$B$11&lt;10,MAX(0,B48-B33+B37*'Immobilien-Kalkulation'!$B$11-B48*'Exit-Analyse'!$B$5)*'Immobilien-Kalkulation'!$B$100,0)-B85+B84-'Immobilien-Kalkulation'!$B$63</f>
        <v>13740.149998361027</v>
      </c>
      <c r="C49" s="79">
        <f>'Exit-Analyse'!B21</f>
        <v>58710.874425403425</v>
      </c>
      <c r="D49" s="79">
        <f>D48*(1-'Exit-Analyse'!$B$5)-IF('Immobilien-Kalkulation'!$B$11&lt;10,MAX(0,D48-D33+D37*'Immobilien-Kalkulation'!$B$11-D48*'Exit-Analyse'!$B$5)*'Immobilien-Kalkulation'!$B$100,0)-D85+D84-'Immobilien-Kalkulation'!$B$63</f>
        <v>83247.945425615413</v>
      </c>
    </row>
    <row r="50" spans="1:6" ht="15" customHeight="1" x14ac:dyDescent="0.25"/>
    <row r="51" spans="1:6" ht="15" customHeight="1" x14ac:dyDescent="0.25">
      <c r="A51" s="42" t="s">
        <v>186</v>
      </c>
    </row>
    <row r="52" spans="1:6" x14ac:dyDescent="0.25">
      <c r="A52" s="43" t="s">
        <v>187</v>
      </c>
      <c r="B52" s="43" t="s">
        <v>188</v>
      </c>
      <c r="C52" s="43" t="s">
        <v>189</v>
      </c>
      <c r="D52" s="43" t="s">
        <v>190</v>
      </c>
      <c r="E52" s="43" t="s">
        <v>191</v>
      </c>
      <c r="F52" s="43" t="s">
        <v>192</v>
      </c>
    </row>
    <row r="53" spans="1:6" x14ac:dyDescent="0.25">
      <c r="A53">
        <v>1</v>
      </c>
      <c r="B53" s="54">
        <f>IF(A53&gt;'Immobilien-Kalkulation'!$B$11,0,IFERROR(($B$32*(1-$B$25)*(1+$B$23)^(A53-1))-((('Immobilien-Kalkulation'!$B$93-'Immobilien-Kalkulation'!$B$87-'Immobilien-Kalkulation'!$B$92)*(1+$B$11)+$B$28+$B$27)*(1+'Immobilien-Kalkulation'!$B$16)^(A53-1))-(IF(A53&lt;='Immobilien-Kalkulation'!$B$69,$B$34*($B$21+$B$22),$B$34*$B$29+IFERROR(INDEX($E$53:$E$82,'Immobilien-Kalkulation'!$B$69)/MAX('Immobilien-Kalkulation'!$B$70-'Immobilien-Kalkulation'!$B$69,1),0)))-(($B$32*(1-$B$25)*(1+$B$23)^(A53-1))-((('Immobilien-Kalkulation'!$B$93-'Immobilien-Kalkulation'!$B$87-'Immobilien-Kalkulation'!$B$92)*(1+$B$11)+$B$28+$B$27)*(1+'Immobilien-Kalkulation'!$B$16)^(A53-1))-(IF(A53&lt;='Immobilien-Kalkulation'!$B$69,$B$34*$B$21,$B$34*$B$29))-(('Immobilien-Kalkulation'!$B$96*B$19+'Immobilien-Kalkulation'!$B$59)*'Immobilien-Kalkulation'!$B$98)-'Immobilien-Kalkulation'!$B$101-(IF(A53=1,'Immobilien-Kalkulation'!$B$58,0)))*'Immobilien-Kalkulation'!$B$100,0))</f>
        <v>-1574.0165329146384</v>
      </c>
      <c r="C53" s="54">
        <f>IF(A53&gt;'Immobilien-Kalkulation'!$B$11,0,IFERROR(INDEX('Immobilien-Kalkulation'!$B$112:$AE$112,1,A53),0))</f>
        <v>1610.7017117985579</v>
      </c>
      <c r="D53" s="54">
        <f>IF(A53&gt;'Immobilien-Kalkulation'!$B$11,0,IFERROR(($D$32*(1-$D$25)*(1+$D$23)^(A53-1))-((('Immobilien-Kalkulation'!$B$93-'Immobilien-Kalkulation'!$B$87-'Immobilien-Kalkulation'!$B$92)*(1+$D$11)+$D$28+$D$27)*(1+'Immobilien-Kalkulation'!$B$16)^(A53-1))-(IF(A53&lt;='Immobilien-Kalkulation'!$B$69,$D$34*($D$21+$D$22),$D$34*$D$29+IFERROR(INDEX($F$53:$F$82,'Immobilien-Kalkulation'!$B$69)/MAX('Immobilien-Kalkulation'!$B$70-'Immobilien-Kalkulation'!$B$69,1),0)))-(($D$32*(1-$D$25)*(1+$D$23)^(A53-1))-((('Immobilien-Kalkulation'!$B$93-'Immobilien-Kalkulation'!$B$87-'Immobilien-Kalkulation'!$B$92)*(1+$D$11)+$D$28+$D$27)*(1+'Immobilien-Kalkulation'!$B$16)^(A53-1))-(IF(A53&lt;='Immobilien-Kalkulation'!$B$69,$D$34*$D$21,$D$34*$D$29))-(('Immobilien-Kalkulation'!$B$96*D$19+'Immobilien-Kalkulation'!$B$59)*'Immobilien-Kalkulation'!$B$98)-'Immobilien-Kalkulation'!$B$101-(IF(A53=1,'Immobilien-Kalkulation'!$B$58,0)))*'Immobilien-Kalkulation'!$B$100,0))</f>
        <v>3792.0189639629443</v>
      </c>
      <c r="E53" s="54">
        <f>MAX(0,$B$34-($B$34*($B$21+$B$22)-$B$34*$B$21))</f>
        <v>369675.6955458353</v>
      </c>
      <c r="F53" s="54">
        <f>MAX(0,$D$34-($D$34*($D$21+$D$22)-$D$34*$D$21))</f>
        <v>274448.18899896293</v>
      </c>
    </row>
    <row r="54" spans="1:6" x14ac:dyDescent="0.25">
      <c r="A54">
        <v>2</v>
      </c>
      <c r="B54" s="54">
        <f>IF(A54&gt;'Immobilien-Kalkulation'!$B$11,0,IFERROR(($B$32*(1-$B$25)*(1+$B$23)^(A54-1))-((('Immobilien-Kalkulation'!$B$93-'Immobilien-Kalkulation'!$B$87-'Immobilien-Kalkulation'!$B$92)*(1+$B$11)+$B$28+$B$27)*(1+'Immobilien-Kalkulation'!$B$16)^(A54-1))-(IF(A54&lt;='Immobilien-Kalkulation'!$B$69,$B$34*($B$21+$B$22),E53*$B$29+IFERROR(INDEX($E$53:$E$82,'Immobilien-Kalkulation'!$B$69)/MAX('Immobilien-Kalkulation'!$B$70-'Immobilien-Kalkulation'!$B$69,1),0)))-(($B$32*(1-$B$25)*(1+$B$23)^(A54-1))-((('Immobilien-Kalkulation'!$B$93-'Immobilien-Kalkulation'!$B$87-'Immobilien-Kalkulation'!$B$92)*(1+$B$11)+$B$28+$B$27)*(1+'Immobilien-Kalkulation'!$B$16)^(A54-1))-(IF(A54&lt;='Immobilien-Kalkulation'!$B$69,E53*$B$21,E53*$B$29))-(('Immobilien-Kalkulation'!$B$96*B$19+'Immobilien-Kalkulation'!$B$59)*'Immobilien-Kalkulation'!$B$98)-'Immobilien-Kalkulation'!$B$101-(IF(A54=1,'Immobilien-Kalkulation'!$B$58,0)))*'Immobilien-Kalkulation'!$B$100,0))</f>
        <v>-7918.73316446229</v>
      </c>
      <c r="C54" s="54">
        <f>IF(A54&gt;'Immobilien-Kalkulation'!$B$11,0,IFERROR(INDEX('Immobilien-Kalkulation'!$B$112:$AE$112,1,A54),0))</f>
        <v>-4679.8446257441683</v>
      </c>
      <c r="D54" s="54">
        <f>IF(A54&gt;'Immobilien-Kalkulation'!$B$11,0,IFERROR(($D$32*(1-$D$25)*(1+$D$23)^(A54-1))-((('Immobilien-Kalkulation'!$B$93-'Immobilien-Kalkulation'!$B$87-'Immobilien-Kalkulation'!$B$92)*(1+$D$11)+$D$28+$D$27)*(1+'Immobilien-Kalkulation'!$B$16)^(A54-1))-(IF(A54&lt;='Immobilien-Kalkulation'!$B$69,$D$34*($D$21+$D$22),F53*$D$29+IFERROR(INDEX($F$53:$F$82,'Immobilien-Kalkulation'!$B$69)/MAX('Immobilien-Kalkulation'!$B$70-'Immobilien-Kalkulation'!$B$69,1),0)))-(($D$32*(1-$D$25)*(1+$D$23)^(A54-1))-((('Immobilien-Kalkulation'!$B$93-'Immobilien-Kalkulation'!$B$87-'Immobilien-Kalkulation'!$B$92)*(1+$D$11)+$D$28+$D$27)*(1+'Immobilien-Kalkulation'!$B$16)^(A54-1))-(IF(A54&lt;='Immobilien-Kalkulation'!$B$69,F53*$D$21,F53*$D$29))-(('Immobilien-Kalkulation'!$B$96*D$19+'Immobilien-Kalkulation'!$B$59)*'Immobilien-Kalkulation'!$B$98)-'Immobilien-Kalkulation'!$B$101-(IF(A54=1,'Immobilien-Kalkulation'!$B$58,0)))*'Immobilien-Kalkulation'!$B$100,0))</f>
        <v>-2451.712986580776</v>
      </c>
      <c r="E54" s="54">
        <f>IF(A54&gt;'Immobilien-Kalkulation'!$B$70,0,IF(A54&lt;='Immobilien-Kalkulation'!$B$69,MAX(0,E53-($B$34*($B$21+$B$22)-E53*$B$21)),MAX(0,E53-IFERROR(INDEX($E$53:$E$82,'Immobilien-Kalkulation'!$B$69)/MAX('Immobilien-Kalkulation'!$B$70-'Immobilien-Kalkulation'!$B$69,1),0))))</f>
        <v>363401.89114989055</v>
      </c>
      <c r="F54" s="54">
        <f>IF(A54&gt;'Immobilien-Kalkulation'!$B$70,0,IF(A54&lt;='Immobilien-Kalkulation'!$B$69,MAX(0,F53-($D$34*($D$21+$D$22)-F53*$D$21)),MAX(0,F53-IFERROR(INDEX($F$53:$F$82,'Immobilien-Kalkulation'!$B$69)/MAX('Immobilien-Kalkulation'!$B$70-'Immobilien-Kalkulation'!$B$69,1),0))))</f>
        <v>268442.47520139319</v>
      </c>
    </row>
    <row r="55" spans="1:6" x14ac:dyDescent="0.25">
      <c r="A55">
        <v>3</v>
      </c>
      <c r="B55" s="54">
        <f>IF(A55&gt;'Immobilien-Kalkulation'!$B$11,0,IFERROR(($B$32*(1-$B$25)*(1+$B$23)^(A55-1))-((('Immobilien-Kalkulation'!$B$93-'Immobilien-Kalkulation'!$B$87-'Immobilien-Kalkulation'!$B$92)*(1+$B$11)+$B$28+$B$27)*(1+'Immobilien-Kalkulation'!$B$16)^(A55-1))-(IF(A55&lt;='Immobilien-Kalkulation'!$B$69,$B$34*($B$21+$B$22),E54*$B$29+IFERROR(INDEX($E$53:$E$82,'Immobilien-Kalkulation'!$B$69)/MAX('Immobilien-Kalkulation'!$B$70-'Immobilien-Kalkulation'!$B$69,1),0)))-(($B$32*(1-$B$25)*(1+$B$23)^(A55-1))-((('Immobilien-Kalkulation'!$B$93-'Immobilien-Kalkulation'!$B$87-'Immobilien-Kalkulation'!$B$92)*(1+$B$11)+$B$28+$B$27)*(1+'Immobilien-Kalkulation'!$B$16)^(A55-1))-(IF(A55&lt;='Immobilien-Kalkulation'!$B$69,E54*$B$21,E54*$B$29))-(('Immobilien-Kalkulation'!$B$96*B$19+'Immobilien-Kalkulation'!$B$59)*'Immobilien-Kalkulation'!$B$98)-'Immobilien-Kalkulation'!$B$101-(IF(A55=1,'Immobilien-Kalkulation'!$B$58,0)))*'Immobilien-Kalkulation'!$B$100,0))</f>
        <v>-7966.908595927739</v>
      </c>
      <c r="C55" s="54">
        <f>IF(A55&gt;'Immobilien-Kalkulation'!$B$11,0,IFERROR(INDEX('Immobilien-Kalkulation'!$B$112:$AE$112,1,A55),0))</f>
        <v>-4671.8013835606043</v>
      </c>
      <c r="D55" s="54">
        <f>IF(A55&gt;'Immobilien-Kalkulation'!$B$11,0,IFERROR(($D$32*(1-$D$25)*(1+$D$23)^(A55-1))-((('Immobilien-Kalkulation'!$B$93-'Immobilien-Kalkulation'!$B$87-'Immobilien-Kalkulation'!$B$92)*(1+$D$11)+$D$28+$D$27)*(1+'Immobilien-Kalkulation'!$B$16)^(A55-1))-(IF(A55&lt;='Immobilien-Kalkulation'!$B$69,$D$34*($D$21+$D$22),F54*$D$29+IFERROR(INDEX($F$53:$F$82,'Immobilien-Kalkulation'!$B$69)/MAX('Immobilien-Kalkulation'!$B$70-'Immobilien-Kalkulation'!$B$69,1),0)))-(($D$32*(1-$D$25)*(1+$D$23)^(A55-1))-((('Immobilien-Kalkulation'!$B$93-'Immobilien-Kalkulation'!$B$87-'Immobilien-Kalkulation'!$B$92)*(1+$D$11)+$D$28+$D$27)*(1+'Immobilien-Kalkulation'!$B$16)^(A55-1))-(IF(A55&lt;='Immobilien-Kalkulation'!$B$69,F54*$D$21,F54*$D$29))-(('Immobilien-Kalkulation'!$B$96*D$19+'Immobilien-Kalkulation'!$B$59)*'Immobilien-Kalkulation'!$B$98)-'Immobilien-Kalkulation'!$B$101-(IF(A55=1,'Immobilien-Kalkulation'!$B$58,0)))*'Immobilien-Kalkulation'!$B$100,0))</f>
        <v>-2395.0351261946234</v>
      </c>
      <c r="E55" s="54">
        <f>IF(A55&gt;'Immobilien-Kalkulation'!$B$70,0,IF(A55&lt;='Immobilien-Kalkulation'!$B$69,MAX(0,E54-($B$34*($B$21+$B$22)-E54*$B$21)),MAX(0,E54-IFERROR(INDEX($E$53:$E$82,'Immobilien-Kalkulation'!$B$69)/MAX('Immobilien-Kalkulation'!$B$70-'Immobilien-Kalkulation'!$B$69,1),0))))</f>
        <v>356875.56612700899</v>
      </c>
      <c r="F55" s="54">
        <f>IF(A55&gt;'Immobilien-Kalkulation'!$B$70,0,IF(A55&lt;='Immobilien-Kalkulation'!$B$69,MAX(0,F54-($D$34*($D$21+$D$22)-F54*$D$21)),MAX(0,F54-IFERROR(INDEX($F$53:$F$82,'Immobilien-Kalkulation'!$B$69)/MAX('Immobilien-Kalkulation'!$B$70-'Immobilien-Kalkulation'!$B$69,1),0))))</f>
        <v>262247.5814192</v>
      </c>
    </row>
    <row r="56" spans="1:6" x14ac:dyDescent="0.25">
      <c r="A56">
        <v>4</v>
      </c>
      <c r="B56" s="54">
        <f>IF(A56&gt;'Immobilien-Kalkulation'!$B$11,0,IFERROR(($B$32*(1-$B$25)*(1+$B$23)^(A56-1))-((('Immobilien-Kalkulation'!$B$93-'Immobilien-Kalkulation'!$B$87-'Immobilien-Kalkulation'!$B$92)*(1+$B$11)+$B$28+$B$27)*(1+'Immobilien-Kalkulation'!$B$16)^(A56-1))-(IF(A56&lt;='Immobilien-Kalkulation'!$B$69,$B$34*($B$21+$B$22),E55*$B$29+IFERROR(INDEX($E$53:$E$82,'Immobilien-Kalkulation'!$B$69)/MAX('Immobilien-Kalkulation'!$B$70-'Immobilien-Kalkulation'!$B$69,1),0)))-(($B$32*(1-$B$25)*(1+$B$23)^(A56-1))-((('Immobilien-Kalkulation'!$B$93-'Immobilien-Kalkulation'!$B$87-'Immobilien-Kalkulation'!$B$92)*(1+$B$11)+$B$28+$B$27)*(1+'Immobilien-Kalkulation'!$B$16)^(A56-1))-(IF(A56&lt;='Immobilien-Kalkulation'!$B$69,E55*$B$21,E55*$B$29))-(('Immobilien-Kalkulation'!$B$96*B$19+'Immobilien-Kalkulation'!$B$59)*'Immobilien-Kalkulation'!$B$98)-'Immobilien-Kalkulation'!$B$101-(IF(A56=1,'Immobilien-Kalkulation'!$B$58,0)))*'Immobilien-Kalkulation'!$B$100,0))</f>
        <v>-8018.7052417501363</v>
      </c>
      <c r="C56" s="54">
        <f>IF(A56&gt;'Immobilien-Kalkulation'!$B$11,0,IFERROR(INDEX('Immobilien-Kalkulation'!$B$112:$AE$112,1,A56),0))</f>
        <v>-4665.2517745510304</v>
      </c>
      <c r="D56" s="54">
        <f>IF(A56&gt;'Immobilien-Kalkulation'!$B$11,0,IFERROR(($D$32*(1-$D$25)*(1+$D$23)^(A56-1))-((('Immobilien-Kalkulation'!$B$93-'Immobilien-Kalkulation'!$B$87-'Immobilien-Kalkulation'!$B$92)*(1+$D$11)+$D$28+$D$27)*(1+'Immobilien-Kalkulation'!$B$16)^(A56-1))-(IF(A56&lt;='Immobilien-Kalkulation'!$B$69,$D$34*($D$21+$D$22),F55*$D$29+IFERROR(INDEX($F$53:$F$82,'Immobilien-Kalkulation'!$B$69)/MAX('Immobilien-Kalkulation'!$B$70-'Immobilien-Kalkulation'!$B$69,1),0)))-(($D$32*(1-$D$25)*(1+$D$23)^(A56-1))-((('Immobilien-Kalkulation'!$B$93-'Immobilien-Kalkulation'!$B$87-'Immobilien-Kalkulation'!$B$92)*(1+$D$11)+$D$28+$D$27)*(1+'Immobilien-Kalkulation'!$B$16)^(A56-1))-(IF(A56&lt;='Immobilien-Kalkulation'!$B$69,F55*$D$21,F55*$D$29))-(('Immobilien-Kalkulation'!$B$96*D$19+'Immobilien-Kalkulation'!$B$59)*'Immobilien-Kalkulation'!$B$98)-'Immobilien-Kalkulation'!$B$101-(IF(A56=1,'Immobilien-Kalkulation'!$B$58,0)))*'Immobilien-Kalkulation'!$B$100,0))</f>
        <v>-2337.963897743623</v>
      </c>
      <c r="E56" s="54">
        <f>IF(A56&gt;'Immobilien-Kalkulation'!$B$70,0,IF(A56&lt;='Immobilien-Kalkulation'!$B$69,MAX(0,E55-($B$34*($B$21+$B$22)-E55*$B$21)),MAX(0,E55-IFERROR(INDEX($E$53:$E$82,'Immobilien-Kalkulation'!$B$69)/MAX('Immobilien-Kalkulation'!$B$70-'Immobilien-Kalkulation'!$B$69,1),0))))</f>
        <v>350086.55652195646</v>
      </c>
      <c r="F56" s="54">
        <f>IF(A56&gt;'Immobilien-Kalkulation'!$B$70,0,IF(A56&lt;='Immobilien-Kalkulation'!$B$69,MAX(0,F55-($D$34*($D$21+$D$22)-F55*$D$21)),MAX(0,F55-IFERROR(INDEX($F$53:$F$82,'Immobilien-Kalkulation'!$B$69)/MAX('Immobilien-Kalkulation'!$B$70-'Immobilien-Kalkulation'!$B$69,1),0))))</f>
        <v>255857.54848286774</v>
      </c>
    </row>
    <row r="57" spans="1:6" x14ac:dyDescent="0.25">
      <c r="A57">
        <v>5</v>
      </c>
      <c r="B57" s="54">
        <f>IF(A57&gt;'Immobilien-Kalkulation'!$B$11,0,IFERROR(($B$32*(1-$B$25)*(1+$B$23)^(A57-1))-((('Immobilien-Kalkulation'!$B$93-'Immobilien-Kalkulation'!$B$87-'Immobilien-Kalkulation'!$B$92)*(1+$B$11)+$B$28+$B$27)*(1+'Immobilien-Kalkulation'!$B$16)^(A57-1))-(IF(A57&lt;='Immobilien-Kalkulation'!$B$69,$B$34*($B$21+$B$22),E56*$B$29+IFERROR(INDEX($E$53:$E$82,'Immobilien-Kalkulation'!$B$69)/MAX('Immobilien-Kalkulation'!$B$70-'Immobilien-Kalkulation'!$B$69,1),0)))-(($B$32*(1-$B$25)*(1+$B$23)^(A57-1))-((('Immobilien-Kalkulation'!$B$93-'Immobilien-Kalkulation'!$B$87-'Immobilien-Kalkulation'!$B$92)*(1+$B$11)+$B$28+$B$27)*(1+'Immobilien-Kalkulation'!$B$16)^(A57-1))-(IF(A57&lt;='Immobilien-Kalkulation'!$B$69,E56*$B$21,E56*$B$29))-(('Immobilien-Kalkulation'!$B$96*B$19+'Immobilien-Kalkulation'!$B$59)*'Immobilien-Kalkulation'!$B$98)-'Immobilien-Kalkulation'!$B$101-(IF(A57=1,'Immobilien-Kalkulation'!$B$58,0)))*'Immobilien-Kalkulation'!$B$100,0))</f>
        <v>-8074.2923227989131</v>
      </c>
      <c r="C57" s="54">
        <f>IF(A57&gt;'Immobilien-Kalkulation'!$B$11,0,IFERROR(INDEX('Immobilien-Kalkulation'!$B$112:$AE$112,1,A57),0))</f>
        <v>-4660.282585100611</v>
      </c>
      <c r="D57" s="54">
        <f>IF(A57&gt;'Immobilien-Kalkulation'!$B$11,0,IFERROR(($D$32*(1-$D$25)*(1+$D$23)^(A57-1))-((('Immobilien-Kalkulation'!$B$93-'Immobilien-Kalkulation'!$B$87-'Immobilien-Kalkulation'!$B$92)*(1+$D$11)+$D$28+$D$27)*(1+'Immobilien-Kalkulation'!$B$16)^(A57-1))-(IF(A57&lt;='Immobilien-Kalkulation'!$B$69,$D$34*($D$21+$D$22),F56*$D$29+IFERROR(INDEX($F$53:$F$82,'Immobilien-Kalkulation'!$B$69)/MAX('Immobilien-Kalkulation'!$B$70-'Immobilien-Kalkulation'!$B$69,1),0)))-(($D$32*(1-$D$25)*(1+$D$23)^(A57-1))-((('Immobilien-Kalkulation'!$B$93-'Immobilien-Kalkulation'!$B$87-'Immobilien-Kalkulation'!$B$92)*(1+$D$11)+$D$28+$D$27)*(1+'Immobilien-Kalkulation'!$B$16)^(A57-1))-(IF(A57&lt;='Immobilien-Kalkulation'!$B$69,F56*$D$21,F56*$D$29))-(('Immobilien-Kalkulation'!$B$96*D$19+'Immobilien-Kalkulation'!$B$59)*'Immobilien-Kalkulation'!$B$98)-'Immobilien-Kalkulation'!$B$101-(IF(A57=1,'Immobilien-Kalkulation'!$B$58,0)))*'Immobilien-Kalkulation'!$B$100,0))</f>
        <v>-2280.51689213484</v>
      </c>
      <c r="E57" s="54">
        <f>IF(A57&gt;'Immobilien-Kalkulation'!$B$70,0,IF(A57&lt;='Immobilien-Kalkulation'!$B$69,MAX(0,E56-($B$34*($B$21+$B$22)-E56*$B$21)),MAX(0,E56-IFERROR(INDEX($E$53:$E$82,'Immobilien-Kalkulation'!$B$69)/MAX('Immobilien-Kalkulation'!$B$70-'Immobilien-Kalkulation'!$B$69,1),0))))</f>
        <v>343024.28928030055</v>
      </c>
      <c r="F57" s="54">
        <f>IF(A57&gt;'Immobilien-Kalkulation'!$B$70,0,IF(A57&lt;='Immobilien-Kalkulation'!$B$69,MAX(0,F56-($D$34*($D$21+$D$22)-F56*$D$21)),MAX(0,F56-IFERROR(INDEX($F$53:$F$82,'Immobilien-Kalkulation'!$B$69)/MAX('Immobilien-Kalkulation'!$B$70-'Immobilien-Kalkulation'!$B$69,1),0))))</f>
        <v>249266.22950904103</v>
      </c>
    </row>
    <row r="58" spans="1:6" x14ac:dyDescent="0.25">
      <c r="A58">
        <v>6</v>
      </c>
      <c r="B58" s="54">
        <f>IF(A58&gt;'Immobilien-Kalkulation'!$B$11,0,IFERROR(($B$32*(1-$B$25)*(1+$B$23)^(A58-1))-((('Immobilien-Kalkulation'!$B$93-'Immobilien-Kalkulation'!$B$87-'Immobilien-Kalkulation'!$B$92)*(1+$B$11)+$B$28+$B$27)*(1+'Immobilien-Kalkulation'!$B$16)^(A58-1))-(IF(A58&lt;='Immobilien-Kalkulation'!$B$69,$B$34*($B$21+$B$22),E57*$B$29+IFERROR(INDEX($E$53:$E$82,'Immobilien-Kalkulation'!$B$69)/MAX('Immobilien-Kalkulation'!$B$70-'Immobilien-Kalkulation'!$B$69,1),0)))-(($B$32*(1-$B$25)*(1+$B$23)^(A58-1))-((('Immobilien-Kalkulation'!$B$93-'Immobilien-Kalkulation'!$B$87-'Immobilien-Kalkulation'!$B$92)*(1+$B$11)+$B$28+$B$27)*(1+'Immobilien-Kalkulation'!$B$16)^(A58-1))-(IF(A58&lt;='Immobilien-Kalkulation'!$B$69,E57*$B$21,E57*$B$29))-(('Immobilien-Kalkulation'!$B$96*B$19+'Immobilien-Kalkulation'!$B$59)*'Immobilien-Kalkulation'!$B$98)-'Immobilien-Kalkulation'!$B$101-(IF(A58=1,'Immobilien-Kalkulation'!$B$58,0)))*'Immobilien-Kalkulation'!$B$100,0))</f>
        <v>-8133.8461417820135</v>
      </c>
      <c r="C58" s="54">
        <f>IF(A58&gt;'Immobilien-Kalkulation'!$B$11,0,IFERROR(INDEX('Immobilien-Kalkulation'!$B$112:$AE$112,1,A58),0))</f>
        <v>-4656.98431327659</v>
      </c>
      <c r="D58" s="54">
        <f>IF(A58&gt;'Immobilien-Kalkulation'!$B$11,0,IFERROR(($D$32*(1-$D$25)*(1+$D$23)^(A58-1))-((('Immobilien-Kalkulation'!$B$93-'Immobilien-Kalkulation'!$B$87-'Immobilien-Kalkulation'!$B$92)*(1+$D$11)+$D$28+$D$27)*(1+'Immobilien-Kalkulation'!$B$16)^(A58-1))-(IF(A58&lt;='Immobilien-Kalkulation'!$B$69,$D$34*($D$21+$D$22),F57*$D$29+IFERROR(INDEX($F$53:$F$82,'Immobilien-Kalkulation'!$B$69)/MAX('Immobilien-Kalkulation'!$B$70-'Immobilien-Kalkulation'!$B$69,1),0)))-(($D$32*(1-$D$25)*(1+$D$23)^(A58-1))-((('Immobilien-Kalkulation'!$B$93-'Immobilien-Kalkulation'!$B$87-'Immobilien-Kalkulation'!$B$92)*(1+$D$11)+$D$28+$D$27)*(1+'Immobilien-Kalkulation'!$B$16)^(A58-1))-(IF(A58&lt;='Immobilien-Kalkulation'!$B$69,F57*$D$21,F57*$D$29))-(('Immobilien-Kalkulation'!$B$96*D$19+'Immobilien-Kalkulation'!$B$59)*'Immobilien-Kalkulation'!$B$98)-'Immobilien-Kalkulation'!$B$101-(IF(A58=1,'Immobilien-Kalkulation'!$B$58,0)))*'Immobilien-Kalkulation'!$B$100,0))</f>
        <v>-2222.7128979514709</v>
      </c>
      <c r="E58" s="54">
        <f>IF(A58&gt;'Immobilien-Kalkulation'!$B$70,0,IF(A58&lt;='Immobilien-Kalkulation'!$B$69,MAX(0,E57-($B$34*($B$21+$B$22)-E57*$B$21)),MAX(0,E57-IFERROR(INDEX($E$53:$E$82,'Immobilien-Kalkulation'!$B$69)/MAX('Immobilien-Kalkulation'!$B$70-'Immobilien-Kalkulation'!$B$69,1),0))))</f>
        <v>335677.76578216802</v>
      </c>
      <c r="F58" s="54">
        <f>IF(A58&gt;'Immobilien-Kalkulation'!$B$70,0,IF(A58&lt;='Immobilien-Kalkulation'!$B$69,MAX(0,F57-($D$34*($D$21+$D$22)-F57*$D$21)),MAX(0,F57-IFERROR(INDEX($F$53:$F$82,'Immobilien-Kalkulation'!$B$69)/MAX('Immobilien-Kalkulation'!$B$70-'Immobilien-Kalkulation'!$B$69,1),0))))</f>
        <v>242467.28398753877</v>
      </c>
    </row>
    <row r="59" spans="1:6" x14ac:dyDescent="0.25">
      <c r="A59">
        <v>7</v>
      </c>
      <c r="B59" s="54">
        <f>IF(A59&gt;'Immobilien-Kalkulation'!$B$11,0,IFERROR(($B$32*(1-$B$25)*(1+$B$23)^(A59-1))-((('Immobilien-Kalkulation'!$B$93-'Immobilien-Kalkulation'!$B$87-'Immobilien-Kalkulation'!$B$92)*(1+$B$11)+$B$28+$B$27)*(1+'Immobilien-Kalkulation'!$B$16)^(A59-1))-(IF(A59&lt;='Immobilien-Kalkulation'!$B$69,$B$34*($B$21+$B$22),E58*$B$29+IFERROR(INDEX($E$53:$E$82,'Immobilien-Kalkulation'!$B$69)/MAX('Immobilien-Kalkulation'!$B$70-'Immobilien-Kalkulation'!$B$69,1),0)))-(($B$32*(1-$B$25)*(1+$B$23)^(A59-1))-((('Immobilien-Kalkulation'!$B$93-'Immobilien-Kalkulation'!$B$87-'Immobilien-Kalkulation'!$B$92)*(1+$B$11)+$B$28+$B$27)*(1+'Immobilien-Kalkulation'!$B$16)^(A59-1))-(IF(A59&lt;='Immobilien-Kalkulation'!$B$69,E58*$B$21,E58*$B$29))-(('Immobilien-Kalkulation'!$B$96*B$19+'Immobilien-Kalkulation'!$B$59)*'Immobilien-Kalkulation'!$B$98)-'Immobilien-Kalkulation'!$B$101-(IF(A59=1,'Immobilien-Kalkulation'!$B$58,0)))*'Immobilien-Kalkulation'!$B$100,0))</f>
        <v>-8197.5503696857631</v>
      </c>
      <c r="C59" s="54">
        <f>IF(A59&gt;'Immobilien-Kalkulation'!$B$11,0,IFERROR(INDEX('Immobilien-Kalkulation'!$B$112:$AE$112,1,A59),0))</f>
        <v>-4655.4513121332693</v>
      </c>
      <c r="D59" s="54">
        <f>IF(A59&gt;'Immobilien-Kalkulation'!$B$11,0,IFERROR(($D$32*(1-$D$25)*(1+$D$23)^(A59-1))-((('Immobilien-Kalkulation'!$B$93-'Immobilien-Kalkulation'!$B$87-'Immobilien-Kalkulation'!$B$92)*(1+$D$11)+$D$28+$D$27)*(1+'Immobilien-Kalkulation'!$B$16)^(A59-1))-(IF(A59&lt;='Immobilien-Kalkulation'!$B$69,$D$34*($D$21+$D$22),F58*$D$29+IFERROR(INDEX($F$53:$F$82,'Immobilien-Kalkulation'!$B$69)/MAX('Immobilien-Kalkulation'!$B$70-'Immobilien-Kalkulation'!$B$69,1),0)))-(($D$32*(1-$D$25)*(1+$D$23)^(A59-1))-((('Immobilien-Kalkulation'!$B$93-'Immobilien-Kalkulation'!$B$87-'Immobilien-Kalkulation'!$B$92)*(1+$D$11)+$D$28+$D$27)*(1+'Immobilien-Kalkulation'!$B$16)^(A59-1))-(IF(A59&lt;='Immobilien-Kalkulation'!$B$69,F58*$D$21,F58*$D$29))-(('Immobilien-Kalkulation'!$B$96*D$19+'Immobilien-Kalkulation'!$B$59)*'Immobilien-Kalkulation'!$B$98)-'Immobilien-Kalkulation'!$B$101-(IF(A59=1,'Immobilien-Kalkulation'!$B$58,0)))*'Immobilien-Kalkulation'!$B$100,0))</f>
        <v>-2164.5719529369762</v>
      </c>
      <c r="E59" s="54">
        <f>IF(A59&gt;'Immobilien-Kalkulation'!$B$70,0,IF(A59&lt;='Immobilien-Kalkulation'!$B$69,MAX(0,E58-($B$34*($B$21+$B$22)-E58*$B$21)),MAX(0,E58-IFERROR(INDEX($E$53:$E$82,'Immobilien-Kalkulation'!$B$69)/MAX('Immobilien-Kalkulation'!$B$70-'Immobilien-Kalkulation'!$B$69,1),0))))</f>
        <v>328035.54471323563</v>
      </c>
      <c r="F59" s="54">
        <f>IF(A59&gt;'Immobilien-Kalkulation'!$B$70,0,IF(A59&lt;='Immobilien-Kalkulation'!$B$69,MAX(0,F58-($D$34*($D$21+$D$22)-F58*$D$21)),MAX(0,F58-IFERROR(INDEX($F$53:$F$82,'Immobilien-Kalkulation'!$B$69)/MAX('Immobilien-Kalkulation'!$B$70-'Immobilien-Kalkulation'!$B$69,1),0))))</f>
        <v>235454.17168210918</v>
      </c>
    </row>
    <row r="60" spans="1:6" x14ac:dyDescent="0.25">
      <c r="A60">
        <v>8</v>
      </c>
      <c r="B60" s="54">
        <f>IF(A60&gt;'Immobilien-Kalkulation'!$B$11,0,IFERROR(($B$32*(1-$B$25)*(1+$B$23)^(A60-1))-((('Immobilien-Kalkulation'!$B$93-'Immobilien-Kalkulation'!$B$87-'Immobilien-Kalkulation'!$B$92)*(1+$B$11)+$B$28+$B$27)*(1+'Immobilien-Kalkulation'!$B$16)^(A60-1))-(IF(A60&lt;='Immobilien-Kalkulation'!$B$69,$B$34*($B$21+$B$22),E59*$B$29+IFERROR(INDEX($E$53:$E$82,'Immobilien-Kalkulation'!$B$69)/MAX('Immobilien-Kalkulation'!$B$70-'Immobilien-Kalkulation'!$B$69,1),0)))-(($B$32*(1-$B$25)*(1+$B$23)^(A60-1))-((('Immobilien-Kalkulation'!$B$93-'Immobilien-Kalkulation'!$B$87-'Immobilien-Kalkulation'!$B$92)*(1+$B$11)+$B$28+$B$27)*(1+'Immobilien-Kalkulation'!$B$16)^(A60-1))-(IF(A60&lt;='Immobilien-Kalkulation'!$B$69,E59*$B$21,E59*$B$29))-(('Immobilien-Kalkulation'!$B$96*B$19+'Immobilien-Kalkulation'!$B$59)*'Immobilien-Kalkulation'!$B$98)-'Immobilien-Kalkulation'!$B$101-(IF(A60=1,'Immobilien-Kalkulation'!$B$58,0)))*'Immobilien-Kalkulation'!$B$100,0))</f>
        <v>-8265.5963436875099</v>
      </c>
      <c r="C60" s="54">
        <f>IF(A60&gt;'Immobilien-Kalkulation'!$B$11,0,IFERROR(INDEX('Immobilien-Kalkulation'!$B$112:$AE$112,1,A60),0))</f>
        <v>-4655.7819383095803</v>
      </c>
      <c r="D60" s="54">
        <f>IF(A60&gt;'Immobilien-Kalkulation'!$B$11,0,IFERROR(($D$32*(1-$D$25)*(1+$D$23)^(A60-1))-((('Immobilien-Kalkulation'!$B$93-'Immobilien-Kalkulation'!$B$87-'Immobilien-Kalkulation'!$B$92)*(1+$D$11)+$D$28+$D$27)*(1+'Immobilien-Kalkulation'!$B$16)^(A60-1))-(IF(A60&lt;='Immobilien-Kalkulation'!$B$69,$D$34*($D$21+$D$22),F59*$D$29+IFERROR(INDEX($F$53:$F$82,'Immobilien-Kalkulation'!$B$69)/MAX('Immobilien-Kalkulation'!$B$70-'Immobilien-Kalkulation'!$B$69,1),0)))-(($D$32*(1-$D$25)*(1+$D$23)^(A60-1))-((('Immobilien-Kalkulation'!$B$93-'Immobilien-Kalkulation'!$B$87-'Immobilien-Kalkulation'!$B$92)*(1+$D$11)+$D$28+$D$27)*(1+'Immobilien-Kalkulation'!$B$16)^(A60-1))-(IF(A60&lt;='Immobilien-Kalkulation'!$B$69,F59*$D$21,F59*$D$29))-(('Immobilien-Kalkulation'!$B$96*D$19+'Immobilien-Kalkulation'!$B$59)*'Immobilien-Kalkulation'!$B$98)-'Immobilien-Kalkulation'!$B$101-(IF(A60=1,'Immobilien-Kalkulation'!$B$58,0)))*'Immobilien-Kalkulation'!$B$100,0))</f>
        <v>-2106.1153973936061</v>
      </c>
      <c r="E60" s="54">
        <f>IF(A60&gt;'Immobilien-Kalkulation'!$B$70,0,IF(A60&lt;='Immobilien-Kalkulation'!$B$69,MAX(0,E59-($B$34*($B$21+$B$22)-E59*$B$21)),MAX(0,E59-IFERROR(INDEX($E$53:$E$82,'Immobilien-Kalkulation'!$B$69)/MAX('Immobilien-Kalkulation'!$B$70-'Immobilien-Kalkulation'!$B$69,1),0))))</f>
        <v>320085.72424627875</v>
      </c>
      <c r="F60" s="54">
        <f>IF(A60&gt;'Immobilien-Kalkulation'!$B$70,0,IF(A60&lt;='Immobilien-Kalkulation'!$B$69,MAX(0,F59-($D$34*($D$21+$D$22)-F59*$D$21)),MAX(0,F59-IFERROR(INDEX($F$53:$F$82,'Immobilien-Kalkulation'!$B$69)/MAX('Immobilien-Kalkulation'!$B$70-'Immobilien-Kalkulation'!$B$69,1),0))))</f>
        <v>228220.14633905856</v>
      </c>
    </row>
    <row r="61" spans="1:6" x14ac:dyDescent="0.25">
      <c r="A61">
        <v>9</v>
      </c>
      <c r="B61" s="54">
        <f>IF(A61&gt;'Immobilien-Kalkulation'!$B$11,0,IFERROR(($B$32*(1-$B$25)*(1+$B$23)^(A61-1))-((('Immobilien-Kalkulation'!$B$93-'Immobilien-Kalkulation'!$B$87-'Immobilien-Kalkulation'!$B$92)*(1+$B$11)+$B$28+$B$27)*(1+'Immobilien-Kalkulation'!$B$16)^(A61-1))-(IF(A61&lt;='Immobilien-Kalkulation'!$B$69,$B$34*($B$21+$B$22),E60*$B$29+IFERROR(INDEX($E$53:$E$82,'Immobilien-Kalkulation'!$B$69)/MAX('Immobilien-Kalkulation'!$B$70-'Immobilien-Kalkulation'!$B$69,1),0)))-(($B$32*(1-$B$25)*(1+$B$23)^(A61-1))-((('Immobilien-Kalkulation'!$B$93-'Immobilien-Kalkulation'!$B$87-'Immobilien-Kalkulation'!$B$92)*(1+$B$11)+$B$28+$B$27)*(1+'Immobilien-Kalkulation'!$B$16)^(A61-1))-(IF(A61&lt;='Immobilien-Kalkulation'!$B$69,E60*$B$21,E60*$B$29))-(('Immobilien-Kalkulation'!$B$96*B$19+'Immobilien-Kalkulation'!$B$59)*'Immobilien-Kalkulation'!$B$98)-'Immobilien-Kalkulation'!$B$101-(IF(A61=1,'Immobilien-Kalkulation'!$B$58,0)))*'Immobilien-Kalkulation'!$B$100,0))</f>
        <v>-8338.1833769998884</v>
      </c>
      <c r="C61" s="54">
        <f>IF(A61&gt;'Immobilien-Kalkulation'!$B$11,0,IFERROR(INDEX('Immobilien-Kalkulation'!$B$112:$AE$112,1,A61),0))</f>
        <v>-4658.0787061106021</v>
      </c>
      <c r="D61" s="54">
        <f>IF(A61&gt;'Immobilien-Kalkulation'!$B$11,0,IFERROR(($D$32*(1-$D$25)*(1+$D$23)^(A61-1))-((('Immobilien-Kalkulation'!$B$93-'Immobilien-Kalkulation'!$B$87-'Immobilien-Kalkulation'!$B$92)*(1+$D$11)+$D$28+$D$27)*(1+'Immobilien-Kalkulation'!$B$16)^(A61-1))-(IF(A61&lt;='Immobilien-Kalkulation'!$B$69,$D$34*($D$21+$D$22),F60*$D$29+IFERROR(INDEX($F$53:$F$82,'Immobilien-Kalkulation'!$B$69)/MAX('Immobilien-Kalkulation'!$B$70-'Immobilien-Kalkulation'!$B$69,1),0)))-(($D$32*(1-$D$25)*(1+$D$23)^(A61-1))-((('Immobilien-Kalkulation'!$B$93-'Immobilien-Kalkulation'!$B$87-'Immobilien-Kalkulation'!$B$92)*(1+$D$11)+$D$28+$D$27)*(1+'Immobilien-Kalkulation'!$B$16)^(A61-1))-(IF(A61&lt;='Immobilien-Kalkulation'!$B$69,F60*$D$21,F60*$D$29))-(('Immobilien-Kalkulation'!$B$96*D$19+'Immobilien-Kalkulation'!$B$59)*'Immobilien-Kalkulation'!$B$98)-'Immobilien-Kalkulation'!$B$101-(IF(A61=1,'Immobilien-Kalkulation'!$B$58,0)))*'Immobilien-Kalkulation'!$B$100,0))</f>
        <v>-2047.3659295618052</v>
      </c>
      <c r="E61" s="54">
        <f>IF(A61&gt;'Immobilien-Kalkulation'!$B$70,0,IF(A61&lt;='Immobilien-Kalkulation'!$B$69,MAX(0,E60-($B$34*($B$21+$B$22)-E60*$B$21)),MAX(0,E60-IFERROR(INDEX($E$53:$E$82,'Immobilien-Kalkulation'!$B$69)/MAX('Immobilien-Kalkulation'!$B$70-'Immobilien-Kalkulation'!$B$69,1),0))))</f>
        <v>311815.92350552685</v>
      </c>
      <c r="F61" s="54">
        <f>IF(A61&gt;'Immobilien-Kalkulation'!$B$70,0,IF(A61&lt;='Immobilien-Kalkulation'!$B$69,MAX(0,F60-($D$34*($D$21+$D$22)-F60*$D$21)),MAX(0,F60-IFERROR(INDEX($F$53:$F$82,'Immobilien-Kalkulation'!$B$69)/MAX('Immobilien-Kalkulation'!$B$70-'Immobilien-Kalkulation'!$B$69,1),0))))</f>
        <v>220758.24919770184</v>
      </c>
    </row>
    <row r="62" spans="1:6" x14ac:dyDescent="0.25">
      <c r="A62">
        <v>10</v>
      </c>
      <c r="B62" s="54">
        <f>IF(A62&gt;'Immobilien-Kalkulation'!$B$11,0,IFERROR(($B$32*(1-$B$25)*(1+$B$23)^(A62-1))-((('Immobilien-Kalkulation'!$B$93-'Immobilien-Kalkulation'!$B$87-'Immobilien-Kalkulation'!$B$92)*(1+$B$11)+$B$28+$B$27)*(1+'Immobilien-Kalkulation'!$B$16)^(A62-1))-(IF(A62&lt;='Immobilien-Kalkulation'!$B$69,$B$34*($B$21+$B$22),E61*$B$29+IFERROR(INDEX($E$53:$E$82,'Immobilien-Kalkulation'!$B$69)/MAX('Immobilien-Kalkulation'!$B$70-'Immobilien-Kalkulation'!$B$69,1),0)))-(($B$32*(1-$B$25)*(1+$B$23)^(A62-1))-((('Immobilien-Kalkulation'!$B$93-'Immobilien-Kalkulation'!$B$87-'Immobilien-Kalkulation'!$B$92)*(1+$B$11)+$B$28+$B$27)*(1+'Immobilien-Kalkulation'!$B$16)^(A62-1))-(IF(A62&lt;='Immobilien-Kalkulation'!$B$69,E61*$B$21,E61*$B$29))-(('Immobilien-Kalkulation'!$B$96*B$19+'Immobilien-Kalkulation'!$B$59)*'Immobilien-Kalkulation'!$B$98)-'Immobilien-Kalkulation'!$B$101-(IF(A62=1,'Immobilien-Kalkulation'!$B$58,0)))*'Immobilien-Kalkulation'!$B$100,0))</f>
        <v>-8415.5190811238517</v>
      </c>
      <c r="C62" s="54">
        <f>IF(A62&gt;'Immobilien-Kalkulation'!$B$11,0,IFERROR(INDEX('Immobilien-Kalkulation'!$B$112:$AE$112,1,A62),0))</f>
        <v>-4662.448447271332</v>
      </c>
      <c r="D62" s="54">
        <f>IF(A62&gt;'Immobilien-Kalkulation'!$B$11,0,IFERROR(($D$32*(1-$D$25)*(1+$D$23)^(A62-1))-((('Immobilien-Kalkulation'!$B$93-'Immobilien-Kalkulation'!$B$87-'Immobilien-Kalkulation'!$B$92)*(1+$D$11)+$D$28+$D$27)*(1+'Immobilien-Kalkulation'!$B$16)^(A62-1))-(IF(A62&lt;='Immobilien-Kalkulation'!$B$69,$D$34*($D$21+$D$22),F61*$D$29+IFERROR(INDEX($F$53:$F$82,'Immobilien-Kalkulation'!$B$69)/MAX('Immobilien-Kalkulation'!$B$70-'Immobilien-Kalkulation'!$B$69,1),0)))-(($D$32*(1-$D$25)*(1+$D$23)^(A62-1))-((('Immobilien-Kalkulation'!$B$93-'Immobilien-Kalkulation'!$B$87-'Immobilien-Kalkulation'!$B$92)*(1+$D$11)+$D$28+$D$27)*(1+'Immobilien-Kalkulation'!$B$16)^(A62-1))-(IF(A62&lt;='Immobilien-Kalkulation'!$B$69,F61*$D$21,F61*$D$29))-(('Immobilien-Kalkulation'!$B$96*D$19+'Immobilien-Kalkulation'!$B$59)*'Immobilien-Kalkulation'!$B$98)-'Immobilien-Kalkulation'!$B$101-(IF(A62=1,'Immobilien-Kalkulation'!$B$58,0)))*'Immobilien-Kalkulation'!$B$100,0))</f>
        <v>-1988.3476630491982</v>
      </c>
      <c r="E62" s="54">
        <f>IF(A62&gt;'Immobilien-Kalkulation'!$B$70,0,IF(A62&lt;='Immobilien-Kalkulation'!$B$69,MAX(0,E61-($B$34*($B$21+$B$22)-E61*$B$21)),MAX(0,E61-IFERROR(INDEX($E$53:$E$82,'Immobilien-Kalkulation'!$B$69)/MAX('Immobilien-Kalkulation'!$B$70-'Immobilien-Kalkulation'!$B$69,1),0))))</f>
        <v>303213.26328495966</v>
      </c>
      <c r="F62" s="54">
        <f>IF(A62&gt;'Immobilien-Kalkulation'!$B$70,0,IF(A62&lt;='Immobilien-Kalkulation'!$B$69,MAX(0,F61-($D$34*($D$21+$D$22)-F61*$D$21)),MAX(0,F61-IFERROR(INDEX($F$53:$F$82,'Immobilien-Kalkulation'!$B$69)/MAX('Immobilien-Kalkulation'!$B$70-'Immobilien-Kalkulation'!$B$69,1),0))))</f>
        <v>213061.30229639239</v>
      </c>
    </row>
    <row r="63" spans="1:6" x14ac:dyDescent="0.25">
      <c r="A63">
        <v>11</v>
      </c>
      <c r="B63" s="54">
        <f>IF(A63&gt;'Immobilien-Kalkulation'!$B$11,0,IFERROR(($B$32*(1-$B$25)*(1+$B$23)^(A63-1))-((('Immobilien-Kalkulation'!$B$93-'Immobilien-Kalkulation'!$B$87-'Immobilien-Kalkulation'!$B$92)*(1+$B$11)+$B$28+$B$27)*(1+'Immobilien-Kalkulation'!$B$16)^(A63-1))-(IF(A63&lt;='Immobilien-Kalkulation'!$B$69,$B$34*($B$21+$B$22),E62*$B$29+IFERROR(INDEX($E$53:$E$82,'Immobilien-Kalkulation'!$B$69)/MAX('Immobilien-Kalkulation'!$B$70-'Immobilien-Kalkulation'!$B$69,1),0)))-(($B$32*(1-$B$25)*(1+$B$23)^(A63-1))-((('Immobilien-Kalkulation'!$B$93-'Immobilien-Kalkulation'!$B$87-'Immobilien-Kalkulation'!$B$92)*(1+$B$11)+$B$28+$B$27)*(1+'Immobilien-Kalkulation'!$B$16)^(A63-1))-(IF(A63&lt;='Immobilien-Kalkulation'!$B$69,E62*$B$21,E62*$B$29))-(('Immobilien-Kalkulation'!$B$96*B$19+'Immobilien-Kalkulation'!$B$59)*'Immobilien-Kalkulation'!$B$98)-'Immobilien-Kalkulation'!$B$101-(IF(A63=1,'Immobilien-Kalkulation'!$B$58,0)))*'Immobilien-Kalkulation'!$B$100,0))</f>
        <v>0</v>
      </c>
      <c r="C63" s="54">
        <f>IF(A63&gt;'Immobilien-Kalkulation'!$B$11,0,IFERROR(INDEX('Immobilien-Kalkulation'!$B$112:$AE$112,1,A63),0))</f>
        <v>0</v>
      </c>
      <c r="D63" s="54">
        <f>IF(A63&gt;'Immobilien-Kalkulation'!$B$11,0,IFERROR(($D$32*(1-$D$25)*(1+$D$23)^(A63-1))-((('Immobilien-Kalkulation'!$B$93-'Immobilien-Kalkulation'!$B$87-'Immobilien-Kalkulation'!$B$92)*(1+$D$11)+$D$28+$D$27)*(1+'Immobilien-Kalkulation'!$B$16)^(A63-1))-(IF(A63&lt;='Immobilien-Kalkulation'!$B$69,$D$34*($D$21+$D$22),F62*$D$29+IFERROR(INDEX($F$53:$F$82,'Immobilien-Kalkulation'!$B$69)/MAX('Immobilien-Kalkulation'!$B$70-'Immobilien-Kalkulation'!$B$69,1),0)))-(($D$32*(1-$D$25)*(1+$D$23)^(A63-1))-((('Immobilien-Kalkulation'!$B$93-'Immobilien-Kalkulation'!$B$87-'Immobilien-Kalkulation'!$B$92)*(1+$D$11)+$D$28+$D$27)*(1+'Immobilien-Kalkulation'!$B$16)^(A63-1))-(IF(A63&lt;='Immobilien-Kalkulation'!$B$69,F62*$D$21,F62*$D$29))-(('Immobilien-Kalkulation'!$B$96*D$19+'Immobilien-Kalkulation'!$B$59)*'Immobilien-Kalkulation'!$B$98)-'Immobilien-Kalkulation'!$B$101-(IF(A63=1,'Immobilien-Kalkulation'!$B$58,0)))*'Immobilien-Kalkulation'!$B$100,0))</f>
        <v>0</v>
      </c>
      <c r="E63" s="54">
        <f>IF(A63&gt;'Immobilien-Kalkulation'!$B$70,0,IF(A63&lt;='Immobilien-Kalkulation'!$B$69,MAX(0,E62-($B$34*($B$21+$B$22)-E62*$B$21)),MAX(0,E62-IFERROR(INDEX($E$53:$E$82,'Immobilien-Kalkulation'!$B$69)/MAX('Immobilien-Kalkulation'!$B$70-'Immobilien-Kalkulation'!$B$69,1),0))))</f>
        <v>288052.60012071166</v>
      </c>
      <c r="F63" s="54">
        <f>IF(A63&gt;'Immobilien-Kalkulation'!$B$70,0,IF(A63&lt;='Immobilien-Kalkulation'!$B$69,MAX(0,F62-($D$34*($D$21+$D$22)-F62*$D$21)),MAX(0,F62-IFERROR(INDEX($F$53:$F$82,'Immobilien-Kalkulation'!$B$69)/MAX('Immobilien-Kalkulation'!$B$70-'Immobilien-Kalkulation'!$B$69,1),0))))</f>
        <v>202408.23718157277</v>
      </c>
    </row>
    <row r="64" spans="1:6" x14ac:dyDescent="0.25">
      <c r="A64">
        <v>12</v>
      </c>
      <c r="B64" s="54">
        <f>IF(A64&gt;'Immobilien-Kalkulation'!$B$11,0,IFERROR(($B$32*(1-$B$25)*(1+$B$23)^(A64-1))-((('Immobilien-Kalkulation'!$B$93-'Immobilien-Kalkulation'!$B$87-'Immobilien-Kalkulation'!$B$92)*(1+$B$11)+$B$28+$B$27)*(1+'Immobilien-Kalkulation'!$B$16)^(A64-1))-(IF(A64&lt;='Immobilien-Kalkulation'!$B$69,$B$34*($B$21+$B$22),E63*$B$29+IFERROR(INDEX($E$53:$E$82,'Immobilien-Kalkulation'!$B$69)/MAX('Immobilien-Kalkulation'!$B$70-'Immobilien-Kalkulation'!$B$69,1),0)))-(($B$32*(1-$B$25)*(1+$B$23)^(A64-1))-((('Immobilien-Kalkulation'!$B$93-'Immobilien-Kalkulation'!$B$87-'Immobilien-Kalkulation'!$B$92)*(1+$B$11)+$B$28+$B$27)*(1+'Immobilien-Kalkulation'!$B$16)^(A64-1))-(IF(A64&lt;='Immobilien-Kalkulation'!$B$69,E63*$B$21,E63*$B$29))-(('Immobilien-Kalkulation'!$B$96*B$19+'Immobilien-Kalkulation'!$B$59)*'Immobilien-Kalkulation'!$B$98)-'Immobilien-Kalkulation'!$B$101-(IF(A64=1,'Immobilien-Kalkulation'!$B$58,0)))*'Immobilien-Kalkulation'!$B$100,0))</f>
        <v>0</v>
      </c>
      <c r="C64" s="54">
        <f>IF(A64&gt;'Immobilien-Kalkulation'!$B$11,0,IFERROR(INDEX('Immobilien-Kalkulation'!$B$112:$AE$112,1,A64),0))</f>
        <v>0</v>
      </c>
      <c r="D64" s="54">
        <f>IF(A64&gt;'Immobilien-Kalkulation'!$B$11,0,IFERROR(($D$32*(1-$D$25)*(1+$D$23)^(A64-1))-((('Immobilien-Kalkulation'!$B$93-'Immobilien-Kalkulation'!$B$87-'Immobilien-Kalkulation'!$B$92)*(1+$D$11)+$D$28+$D$27)*(1+'Immobilien-Kalkulation'!$B$16)^(A64-1))-(IF(A64&lt;='Immobilien-Kalkulation'!$B$69,$D$34*($D$21+$D$22),F63*$D$29+IFERROR(INDEX($F$53:$F$82,'Immobilien-Kalkulation'!$B$69)/MAX('Immobilien-Kalkulation'!$B$70-'Immobilien-Kalkulation'!$B$69,1),0)))-(($D$32*(1-$D$25)*(1+$D$23)^(A64-1))-((('Immobilien-Kalkulation'!$B$93-'Immobilien-Kalkulation'!$B$87-'Immobilien-Kalkulation'!$B$92)*(1+$D$11)+$D$28+$D$27)*(1+'Immobilien-Kalkulation'!$B$16)^(A64-1))-(IF(A64&lt;='Immobilien-Kalkulation'!$B$69,F63*$D$21,F63*$D$29))-(('Immobilien-Kalkulation'!$B$96*D$19+'Immobilien-Kalkulation'!$B$59)*'Immobilien-Kalkulation'!$B$98)-'Immobilien-Kalkulation'!$B$101-(IF(A64=1,'Immobilien-Kalkulation'!$B$58,0)))*'Immobilien-Kalkulation'!$B$100,0))</f>
        <v>0</v>
      </c>
      <c r="E64" s="54">
        <f>IF(A64&gt;'Immobilien-Kalkulation'!$B$70,0,IF(A64&lt;='Immobilien-Kalkulation'!$B$69,MAX(0,E63-($B$34*($B$21+$B$22)-E63*$B$21)),MAX(0,E63-IFERROR(INDEX($E$53:$E$82,'Immobilien-Kalkulation'!$B$69)/MAX('Immobilien-Kalkulation'!$B$70-'Immobilien-Kalkulation'!$B$69,1),0))))</f>
        <v>272891.93695646367</v>
      </c>
      <c r="F64" s="54">
        <f>IF(A64&gt;'Immobilien-Kalkulation'!$B$70,0,IF(A64&lt;='Immobilien-Kalkulation'!$B$69,MAX(0,F63-($D$34*($D$21+$D$22)-F63*$D$21)),MAX(0,F63-IFERROR(INDEX($F$53:$F$82,'Immobilien-Kalkulation'!$B$69)/MAX('Immobilien-Kalkulation'!$B$70-'Immobilien-Kalkulation'!$B$69,1),0))))</f>
        <v>191755.17206675315</v>
      </c>
    </row>
    <row r="65" spans="1:6" x14ac:dyDescent="0.25">
      <c r="A65">
        <v>13</v>
      </c>
      <c r="B65" s="54">
        <f>IF(A65&gt;'Immobilien-Kalkulation'!$B$11,0,IFERROR(($B$32*(1-$B$25)*(1+$B$23)^(A65-1))-((('Immobilien-Kalkulation'!$B$93-'Immobilien-Kalkulation'!$B$87-'Immobilien-Kalkulation'!$B$92)*(1+$B$11)+$B$28+$B$27)*(1+'Immobilien-Kalkulation'!$B$16)^(A65-1))-(IF(A65&lt;='Immobilien-Kalkulation'!$B$69,$B$34*($B$21+$B$22),E64*$B$29+IFERROR(INDEX($E$53:$E$82,'Immobilien-Kalkulation'!$B$69)/MAX('Immobilien-Kalkulation'!$B$70-'Immobilien-Kalkulation'!$B$69,1),0)))-(($B$32*(1-$B$25)*(1+$B$23)^(A65-1))-((('Immobilien-Kalkulation'!$B$93-'Immobilien-Kalkulation'!$B$87-'Immobilien-Kalkulation'!$B$92)*(1+$B$11)+$B$28+$B$27)*(1+'Immobilien-Kalkulation'!$B$16)^(A65-1))-(IF(A65&lt;='Immobilien-Kalkulation'!$B$69,E64*$B$21,E64*$B$29))-(('Immobilien-Kalkulation'!$B$96*B$19+'Immobilien-Kalkulation'!$B$59)*'Immobilien-Kalkulation'!$B$98)-'Immobilien-Kalkulation'!$B$101-(IF(A65=1,'Immobilien-Kalkulation'!$B$58,0)))*'Immobilien-Kalkulation'!$B$100,0))</f>
        <v>0</v>
      </c>
      <c r="C65" s="54">
        <f>IF(A65&gt;'Immobilien-Kalkulation'!$B$11,0,IFERROR(INDEX('Immobilien-Kalkulation'!$B$112:$AE$112,1,A65),0))</f>
        <v>0</v>
      </c>
      <c r="D65" s="54">
        <f>IF(A65&gt;'Immobilien-Kalkulation'!$B$11,0,IFERROR(($D$32*(1-$D$25)*(1+$D$23)^(A65-1))-((('Immobilien-Kalkulation'!$B$93-'Immobilien-Kalkulation'!$B$87-'Immobilien-Kalkulation'!$B$92)*(1+$D$11)+$D$28+$D$27)*(1+'Immobilien-Kalkulation'!$B$16)^(A65-1))-(IF(A65&lt;='Immobilien-Kalkulation'!$B$69,$D$34*($D$21+$D$22),F64*$D$29+IFERROR(INDEX($F$53:$F$82,'Immobilien-Kalkulation'!$B$69)/MAX('Immobilien-Kalkulation'!$B$70-'Immobilien-Kalkulation'!$B$69,1),0)))-(($D$32*(1-$D$25)*(1+$D$23)^(A65-1))-((('Immobilien-Kalkulation'!$B$93-'Immobilien-Kalkulation'!$B$87-'Immobilien-Kalkulation'!$B$92)*(1+$D$11)+$D$28+$D$27)*(1+'Immobilien-Kalkulation'!$B$16)^(A65-1))-(IF(A65&lt;='Immobilien-Kalkulation'!$B$69,F64*$D$21,F64*$D$29))-(('Immobilien-Kalkulation'!$B$96*D$19+'Immobilien-Kalkulation'!$B$59)*'Immobilien-Kalkulation'!$B$98)-'Immobilien-Kalkulation'!$B$101-(IF(A65=1,'Immobilien-Kalkulation'!$B$58,0)))*'Immobilien-Kalkulation'!$B$100,0))</f>
        <v>0</v>
      </c>
      <c r="E65" s="54">
        <f>IF(A65&gt;'Immobilien-Kalkulation'!$B$70,0,IF(A65&lt;='Immobilien-Kalkulation'!$B$69,MAX(0,E64-($B$34*($B$21+$B$22)-E64*$B$21)),MAX(0,E64-IFERROR(INDEX($E$53:$E$82,'Immobilien-Kalkulation'!$B$69)/MAX('Immobilien-Kalkulation'!$B$70-'Immobilien-Kalkulation'!$B$69,1),0))))</f>
        <v>257731.27379221568</v>
      </c>
      <c r="F65" s="54">
        <f>IF(A65&gt;'Immobilien-Kalkulation'!$B$70,0,IF(A65&lt;='Immobilien-Kalkulation'!$B$69,MAX(0,F64-($D$34*($D$21+$D$22)-F64*$D$21)),MAX(0,F64-IFERROR(INDEX($F$53:$F$82,'Immobilien-Kalkulation'!$B$69)/MAX('Immobilien-Kalkulation'!$B$70-'Immobilien-Kalkulation'!$B$69,1),0))))</f>
        <v>181102.10695193353</v>
      </c>
    </row>
    <row r="66" spans="1:6" x14ac:dyDescent="0.25">
      <c r="A66">
        <v>14</v>
      </c>
      <c r="B66" s="54">
        <f>IF(A66&gt;'Immobilien-Kalkulation'!$B$11,0,IFERROR(($B$32*(1-$B$25)*(1+$B$23)^(A66-1))-((('Immobilien-Kalkulation'!$B$93-'Immobilien-Kalkulation'!$B$87-'Immobilien-Kalkulation'!$B$92)*(1+$B$11)+$B$28+$B$27)*(1+'Immobilien-Kalkulation'!$B$16)^(A66-1))-(IF(A66&lt;='Immobilien-Kalkulation'!$B$69,$B$34*($B$21+$B$22),E65*$B$29+IFERROR(INDEX($E$53:$E$82,'Immobilien-Kalkulation'!$B$69)/MAX('Immobilien-Kalkulation'!$B$70-'Immobilien-Kalkulation'!$B$69,1),0)))-(($B$32*(1-$B$25)*(1+$B$23)^(A66-1))-((('Immobilien-Kalkulation'!$B$93-'Immobilien-Kalkulation'!$B$87-'Immobilien-Kalkulation'!$B$92)*(1+$B$11)+$B$28+$B$27)*(1+'Immobilien-Kalkulation'!$B$16)^(A66-1))-(IF(A66&lt;='Immobilien-Kalkulation'!$B$69,E65*$B$21,E65*$B$29))-(('Immobilien-Kalkulation'!$B$96*B$19+'Immobilien-Kalkulation'!$B$59)*'Immobilien-Kalkulation'!$B$98)-'Immobilien-Kalkulation'!$B$101-(IF(A66=1,'Immobilien-Kalkulation'!$B$58,0)))*'Immobilien-Kalkulation'!$B$100,0))</f>
        <v>0</v>
      </c>
      <c r="C66" s="54">
        <f>IF(A66&gt;'Immobilien-Kalkulation'!$B$11,0,IFERROR(INDEX('Immobilien-Kalkulation'!$B$112:$AE$112,1,A66),0))</f>
        <v>0</v>
      </c>
      <c r="D66" s="54">
        <f>IF(A66&gt;'Immobilien-Kalkulation'!$B$11,0,IFERROR(($D$32*(1-$D$25)*(1+$D$23)^(A66-1))-((('Immobilien-Kalkulation'!$B$93-'Immobilien-Kalkulation'!$B$87-'Immobilien-Kalkulation'!$B$92)*(1+$D$11)+$D$28+$D$27)*(1+'Immobilien-Kalkulation'!$B$16)^(A66-1))-(IF(A66&lt;='Immobilien-Kalkulation'!$B$69,$D$34*($D$21+$D$22),F65*$D$29+IFERROR(INDEX($F$53:$F$82,'Immobilien-Kalkulation'!$B$69)/MAX('Immobilien-Kalkulation'!$B$70-'Immobilien-Kalkulation'!$B$69,1),0)))-(($D$32*(1-$D$25)*(1+$D$23)^(A66-1))-((('Immobilien-Kalkulation'!$B$93-'Immobilien-Kalkulation'!$B$87-'Immobilien-Kalkulation'!$B$92)*(1+$D$11)+$D$28+$D$27)*(1+'Immobilien-Kalkulation'!$B$16)^(A66-1))-(IF(A66&lt;='Immobilien-Kalkulation'!$B$69,F65*$D$21,F65*$D$29))-(('Immobilien-Kalkulation'!$B$96*D$19+'Immobilien-Kalkulation'!$B$59)*'Immobilien-Kalkulation'!$B$98)-'Immobilien-Kalkulation'!$B$101-(IF(A66=1,'Immobilien-Kalkulation'!$B$58,0)))*'Immobilien-Kalkulation'!$B$100,0))</f>
        <v>0</v>
      </c>
      <c r="E66" s="54">
        <f>IF(A66&gt;'Immobilien-Kalkulation'!$B$70,0,IF(A66&lt;='Immobilien-Kalkulation'!$B$69,MAX(0,E65-($B$34*($B$21+$B$22)-E65*$B$21)),MAX(0,E65-IFERROR(INDEX($E$53:$E$82,'Immobilien-Kalkulation'!$B$69)/MAX('Immobilien-Kalkulation'!$B$70-'Immobilien-Kalkulation'!$B$69,1),0))))</f>
        <v>242570.61062796769</v>
      </c>
      <c r="F66" s="54">
        <f>IF(A66&gt;'Immobilien-Kalkulation'!$B$70,0,IF(A66&lt;='Immobilien-Kalkulation'!$B$69,MAX(0,F65-($D$34*($D$21+$D$22)-F65*$D$21)),MAX(0,F65-IFERROR(INDEX($F$53:$F$82,'Immobilien-Kalkulation'!$B$69)/MAX('Immobilien-Kalkulation'!$B$70-'Immobilien-Kalkulation'!$B$69,1),0))))</f>
        <v>170449.04183711391</v>
      </c>
    </row>
    <row r="67" spans="1:6" x14ac:dyDescent="0.25">
      <c r="A67">
        <v>15</v>
      </c>
      <c r="B67" s="54">
        <f>IF(A67&gt;'Immobilien-Kalkulation'!$B$11,0,IFERROR(($B$32*(1-$B$25)*(1+$B$23)^(A67-1))-((('Immobilien-Kalkulation'!$B$93-'Immobilien-Kalkulation'!$B$87-'Immobilien-Kalkulation'!$B$92)*(1+$B$11)+$B$28+$B$27)*(1+'Immobilien-Kalkulation'!$B$16)^(A67-1))-(IF(A67&lt;='Immobilien-Kalkulation'!$B$69,$B$34*($B$21+$B$22),E66*$B$29+IFERROR(INDEX($E$53:$E$82,'Immobilien-Kalkulation'!$B$69)/MAX('Immobilien-Kalkulation'!$B$70-'Immobilien-Kalkulation'!$B$69,1),0)))-(($B$32*(1-$B$25)*(1+$B$23)^(A67-1))-((('Immobilien-Kalkulation'!$B$93-'Immobilien-Kalkulation'!$B$87-'Immobilien-Kalkulation'!$B$92)*(1+$B$11)+$B$28+$B$27)*(1+'Immobilien-Kalkulation'!$B$16)^(A67-1))-(IF(A67&lt;='Immobilien-Kalkulation'!$B$69,E66*$B$21,E66*$B$29))-(('Immobilien-Kalkulation'!$B$96*B$19+'Immobilien-Kalkulation'!$B$59)*'Immobilien-Kalkulation'!$B$98)-'Immobilien-Kalkulation'!$B$101-(IF(A67=1,'Immobilien-Kalkulation'!$B$58,0)))*'Immobilien-Kalkulation'!$B$100,0))</f>
        <v>0</v>
      </c>
      <c r="C67" s="54">
        <f>IF(A67&gt;'Immobilien-Kalkulation'!$B$11,0,IFERROR(INDEX('Immobilien-Kalkulation'!$B$112:$AE$112,1,A67),0))</f>
        <v>0</v>
      </c>
      <c r="D67" s="54">
        <f>IF(A67&gt;'Immobilien-Kalkulation'!$B$11,0,IFERROR(($D$32*(1-$D$25)*(1+$D$23)^(A67-1))-((('Immobilien-Kalkulation'!$B$93-'Immobilien-Kalkulation'!$B$87-'Immobilien-Kalkulation'!$B$92)*(1+$D$11)+$D$28+$D$27)*(1+'Immobilien-Kalkulation'!$B$16)^(A67-1))-(IF(A67&lt;='Immobilien-Kalkulation'!$B$69,$D$34*($D$21+$D$22),F66*$D$29+IFERROR(INDEX($F$53:$F$82,'Immobilien-Kalkulation'!$B$69)/MAX('Immobilien-Kalkulation'!$B$70-'Immobilien-Kalkulation'!$B$69,1),0)))-(($D$32*(1-$D$25)*(1+$D$23)^(A67-1))-((('Immobilien-Kalkulation'!$B$93-'Immobilien-Kalkulation'!$B$87-'Immobilien-Kalkulation'!$B$92)*(1+$D$11)+$D$28+$D$27)*(1+'Immobilien-Kalkulation'!$B$16)^(A67-1))-(IF(A67&lt;='Immobilien-Kalkulation'!$B$69,F66*$D$21,F66*$D$29))-(('Immobilien-Kalkulation'!$B$96*D$19+'Immobilien-Kalkulation'!$B$59)*'Immobilien-Kalkulation'!$B$98)-'Immobilien-Kalkulation'!$B$101-(IF(A67=1,'Immobilien-Kalkulation'!$B$58,0)))*'Immobilien-Kalkulation'!$B$100,0))</f>
        <v>0</v>
      </c>
      <c r="E67" s="54">
        <f>IF(A67&gt;'Immobilien-Kalkulation'!$B$70,0,IF(A67&lt;='Immobilien-Kalkulation'!$B$69,MAX(0,E66-($B$34*($B$21+$B$22)-E66*$B$21)),MAX(0,E66-IFERROR(INDEX($E$53:$E$82,'Immobilien-Kalkulation'!$B$69)/MAX('Immobilien-Kalkulation'!$B$70-'Immobilien-Kalkulation'!$B$69,1),0))))</f>
        <v>227409.9474637197</v>
      </c>
      <c r="F67" s="54">
        <f>IF(A67&gt;'Immobilien-Kalkulation'!$B$70,0,IF(A67&lt;='Immobilien-Kalkulation'!$B$69,MAX(0,F66-($D$34*($D$21+$D$22)-F66*$D$21)),MAX(0,F66-IFERROR(INDEX($F$53:$F$82,'Immobilien-Kalkulation'!$B$69)/MAX('Immobilien-Kalkulation'!$B$70-'Immobilien-Kalkulation'!$B$69,1),0))))</f>
        <v>159795.97672229429</v>
      </c>
    </row>
    <row r="68" spans="1:6" x14ac:dyDescent="0.25">
      <c r="A68">
        <v>16</v>
      </c>
      <c r="B68" s="54">
        <f>IF(A68&gt;'Immobilien-Kalkulation'!$B$11,0,IFERROR(($B$32*(1-$B$25)*(1+$B$23)^(A68-1))-((('Immobilien-Kalkulation'!$B$93-'Immobilien-Kalkulation'!$B$87-'Immobilien-Kalkulation'!$B$92)*(1+$B$11)+$B$28+$B$27)*(1+'Immobilien-Kalkulation'!$B$16)^(A68-1))-(IF(A68&lt;='Immobilien-Kalkulation'!$B$69,$B$34*($B$21+$B$22),E67*$B$29+IFERROR(INDEX($E$53:$E$82,'Immobilien-Kalkulation'!$B$69)/MAX('Immobilien-Kalkulation'!$B$70-'Immobilien-Kalkulation'!$B$69,1),0)))-(($B$32*(1-$B$25)*(1+$B$23)^(A68-1))-((('Immobilien-Kalkulation'!$B$93-'Immobilien-Kalkulation'!$B$87-'Immobilien-Kalkulation'!$B$92)*(1+$B$11)+$B$28+$B$27)*(1+'Immobilien-Kalkulation'!$B$16)^(A68-1))-(IF(A68&lt;='Immobilien-Kalkulation'!$B$69,E67*$B$21,E67*$B$29))-(('Immobilien-Kalkulation'!$B$96*B$19+'Immobilien-Kalkulation'!$B$59)*'Immobilien-Kalkulation'!$B$98)-'Immobilien-Kalkulation'!$B$101-(IF(A68=1,'Immobilien-Kalkulation'!$B$58,0)))*'Immobilien-Kalkulation'!$B$100,0))</f>
        <v>0</v>
      </c>
      <c r="C68" s="54">
        <f>IF(A68&gt;'Immobilien-Kalkulation'!$B$11,0,IFERROR(INDEX('Immobilien-Kalkulation'!$B$112:$AE$112,1,A68),0))</f>
        <v>0</v>
      </c>
      <c r="D68" s="54">
        <f>IF(A68&gt;'Immobilien-Kalkulation'!$B$11,0,IFERROR(($D$32*(1-$D$25)*(1+$D$23)^(A68-1))-((('Immobilien-Kalkulation'!$B$93-'Immobilien-Kalkulation'!$B$87-'Immobilien-Kalkulation'!$B$92)*(1+$D$11)+$D$28+$D$27)*(1+'Immobilien-Kalkulation'!$B$16)^(A68-1))-(IF(A68&lt;='Immobilien-Kalkulation'!$B$69,$D$34*($D$21+$D$22),F67*$D$29+IFERROR(INDEX($F$53:$F$82,'Immobilien-Kalkulation'!$B$69)/MAX('Immobilien-Kalkulation'!$B$70-'Immobilien-Kalkulation'!$B$69,1),0)))-(($D$32*(1-$D$25)*(1+$D$23)^(A68-1))-((('Immobilien-Kalkulation'!$B$93-'Immobilien-Kalkulation'!$B$87-'Immobilien-Kalkulation'!$B$92)*(1+$D$11)+$D$28+$D$27)*(1+'Immobilien-Kalkulation'!$B$16)^(A68-1))-(IF(A68&lt;='Immobilien-Kalkulation'!$B$69,F67*$D$21,F67*$D$29))-(('Immobilien-Kalkulation'!$B$96*D$19+'Immobilien-Kalkulation'!$B$59)*'Immobilien-Kalkulation'!$B$98)-'Immobilien-Kalkulation'!$B$101-(IF(A68=1,'Immobilien-Kalkulation'!$B$58,0)))*'Immobilien-Kalkulation'!$B$100,0))</f>
        <v>0</v>
      </c>
      <c r="E68" s="54">
        <f>IF(A68&gt;'Immobilien-Kalkulation'!$B$70,0,IF(A68&lt;='Immobilien-Kalkulation'!$B$69,MAX(0,E67-($B$34*($B$21+$B$22)-E67*$B$21)),MAX(0,E67-IFERROR(INDEX($E$53:$E$82,'Immobilien-Kalkulation'!$B$69)/MAX('Immobilien-Kalkulation'!$B$70-'Immobilien-Kalkulation'!$B$69,1),0))))</f>
        <v>212249.28429947171</v>
      </c>
      <c r="F68" s="54">
        <f>IF(A68&gt;'Immobilien-Kalkulation'!$B$70,0,IF(A68&lt;='Immobilien-Kalkulation'!$B$69,MAX(0,F67-($D$34*($D$21+$D$22)-F67*$D$21)),MAX(0,F67-IFERROR(INDEX($F$53:$F$82,'Immobilien-Kalkulation'!$B$69)/MAX('Immobilien-Kalkulation'!$B$70-'Immobilien-Kalkulation'!$B$69,1),0))))</f>
        <v>149142.91160747467</v>
      </c>
    </row>
    <row r="69" spans="1:6" x14ac:dyDescent="0.25">
      <c r="A69">
        <v>17</v>
      </c>
      <c r="B69" s="54">
        <f>IF(A69&gt;'Immobilien-Kalkulation'!$B$11,0,IFERROR(($B$32*(1-$B$25)*(1+$B$23)^(A69-1))-((('Immobilien-Kalkulation'!$B$93-'Immobilien-Kalkulation'!$B$87-'Immobilien-Kalkulation'!$B$92)*(1+$B$11)+$B$28+$B$27)*(1+'Immobilien-Kalkulation'!$B$16)^(A69-1))-(IF(A69&lt;='Immobilien-Kalkulation'!$B$69,$B$34*($B$21+$B$22),E68*$B$29+IFERROR(INDEX($E$53:$E$82,'Immobilien-Kalkulation'!$B$69)/MAX('Immobilien-Kalkulation'!$B$70-'Immobilien-Kalkulation'!$B$69,1),0)))-(($B$32*(1-$B$25)*(1+$B$23)^(A69-1))-((('Immobilien-Kalkulation'!$B$93-'Immobilien-Kalkulation'!$B$87-'Immobilien-Kalkulation'!$B$92)*(1+$B$11)+$B$28+$B$27)*(1+'Immobilien-Kalkulation'!$B$16)^(A69-1))-(IF(A69&lt;='Immobilien-Kalkulation'!$B$69,E68*$B$21,E68*$B$29))-(('Immobilien-Kalkulation'!$B$96*B$19+'Immobilien-Kalkulation'!$B$59)*'Immobilien-Kalkulation'!$B$98)-'Immobilien-Kalkulation'!$B$101-(IF(A69=1,'Immobilien-Kalkulation'!$B$58,0)))*'Immobilien-Kalkulation'!$B$100,0))</f>
        <v>0</v>
      </c>
      <c r="C69" s="54">
        <f>IF(A69&gt;'Immobilien-Kalkulation'!$B$11,0,IFERROR(INDEX('Immobilien-Kalkulation'!$B$112:$AE$112,1,A69),0))</f>
        <v>0</v>
      </c>
      <c r="D69" s="54">
        <f>IF(A69&gt;'Immobilien-Kalkulation'!$B$11,0,IFERROR(($D$32*(1-$D$25)*(1+$D$23)^(A69-1))-((('Immobilien-Kalkulation'!$B$93-'Immobilien-Kalkulation'!$B$87-'Immobilien-Kalkulation'!$B$92)*(1+$D$11)+$D$28+$D$27)*(1+'Immobilien-Kalkulation'!$B$16)^(A69-1))-(IF(A69&lt;='Immobilien-Kalkulation'!$B$69,$D$34*($D$21+$D$22),F68*$D$29+IFERROR(INDEX($F$53:$F$82,'Immobilien-Kalkulation'!$B$69)/MAX('Immobilien-Kalkulation'!$B$70-'Immobilien-Kalkulation'!$B$69,1),0)))-(($D$32*(1-$D$25)*(1+$D$23)^(A69-1))-((('Immobilien-Kalkulation'!$B$93-'Immobilien-Kalkulation'!$B$87-'Immobilien-Kalkulation'!$B$92)*(1+$D$11)+$D$28+$D$27)*(1+'Immobilien-Kalkulation'!$B$16)^(A69-1))-(IF(A69&lt;='Immobilien-Kalkulation'!$B$69,F68*$D$21,F68*$D$29))-(('Immobilien-Kalkulation'!$B$96*D$19+'Immobilien-Kalkulation'!$B$59)*'Immobilien-Kalkulation'!$B$98)-'Immobilien-Kalkulation'!$B$101-(IF(A69=1,'Immobilien-Kalkulation'!$B$58,0)))*'Immobilien-Kalkulation'!$B$100,0))</f>
        <v>0</v>
      </c>
      <c r="E69" s="54">
        <f>IF(A69&gt;'Immobilien-Kalkulation'!$B$70,0,IF(A69&lt;='Immobilien-Kalkulation'!$B$69,MAX(0,E68-($B$34*($B$21+$B$22)-E68*$B$21)),MAX(0,E68-IFERROR(INDEX($E$53:$E$82,'Immobilien-Kalkulation'!$B$69)/MAX('Immobilien-Kalkulation'!$B$70-'Immobilien-Kalkulation'!$B$69,1),0))))</f>
        <v>197088.62113522372</v>
      </c>
      <c r="F69" s="54">
        <f>IF(A69&gt;'Immobilien-Kalkulation'!$B$70,0,IF(A69&lt;='Immobilien-Kalkulation'!$B$69,MAX(0,F68-($D$34*($D$21+$D$22)-F68*$D$21)),MAX(0,F68-IFERROR(INDEX($F$53:$F$82,'Immobilien-Kalkulation'!$B$69)/MAX('Immobilien-Kalkulation'!$B$70-'Immobilien-Kalkulation'!$B$69,1),0))))</f>
        <v>138489.84649265505</v>
      </c>
    </row>
    <row r="70" spans="1:6" x14ac:dyDescent="0.25">
      <c r="A70">
        <v>18</v>
      </c>
      <c r="B70" s="54">
        <f>IF(A70&gt;'Immobilien-Kalkulation'!$B$11,0,IFERROR(($B$32*(1-$B$25)*(1+$B$23)^(A70-1))-((('Immobilien-Kalkulation'!$B$93-'Immobilien-Kalkulation'!$B$87-'Immobilien-Kalkulation'!$B$92)*(1+$B$11)+$B$28+$B$27)*(1+'Immobilien-Kalkulation'!$B$16)^(A70-1))-(IF(A70&lt;='Immobilien-Kalkulation'!$B$69,$B$34*($B$21+$B$22),E69*$B$29+IFERROR(INDEX($E$53:$E$82,'Immobilien-Kalkulation'!$B$69)/MAX('Immobilien-Kalkulation'!$B$70-'Immobilien-Kalkulation'!$B$69,1),0)))-(($B$32*(1-$B$25)*(1+$B$23)^(A70-1))-((('Immobilien-Kalkulation'!$B$93-'Immobilien-Kalkulation'!$B$87-'Immobilien-Kalkulation'!$B$92)*(1+$B$11)+$B$28+$B$27)*(1+'Immobilien-Kalkulation'!$B$16)^(A70-1))-(IF(A70&lt;='Immobilien-Kalkulation'!$B$69,E69*$B$21,E69*$B$29))-(('Immobilien-Kalkulation'!$B$96*B$19+'Immobilien-Kalkulation'!$B$59)*'Immobilien-Kalkulation'!$B$98)-'Immobilien-Kalkulation'!$B$101-(IF(A70=1,'Immobilien-Kalkulation'!$B$58,0)))*'Immobilien-Kalkulation'!$B$100,0))</f>
        <v>0</v>
      </c>
      <c r="C70" s="54">
        <f>IF(A70&gt;'Immobilien-Kalkulation'!$B$11,0,IFERROR(INDEX('Immobilien-Kalkulation'!$B$112:$AE$112,1,A70),0))</f>
        <v>0</v>
      </c>
      <c r="D70" s="54">
        <f>IF(A70&gt;'Immobilien-Kalkulation'!$B$11,0,IFERROR(($D$32*(1-$D$25)*(1+$D$23)^(A70-1))-((('Immobilien-Kalkulation'!$B$93-'Immobilien-Kalkulation'!$B$87-'Immobilien-Kalkulation'!$B$92)*(1+$D$11)+$D$28+$D$27)*(1+'Immobilien-Kalkulation'!$B$16)^(A70-1))-(IF(A70&lt;='Immobilien-Kalkulation'!$B$69,$D$34*($D$21+$D$22),F69*$D$29+IFERROR(INDEX($F$53:$F$82,'Immobilien-Kalkulation'!$B$69)/MAX('Immobilien-Kalkulation'!$B$70-'Immobilien-Kalkulation'!$B$69,1),0)))-(($D$32*(1-$D$25)*(1+$D$23)^(A70-1))-((('Immobilien-Kalkulation'!$B$93-'Immobilien-Kalkulation'!$B$87-'Immobilien-Kalkulation'!$B$92)*(1+$D$11)+$D$28+$D$27)*(1+'Immobilien-Kalkulation'!$B$16)^(A70-1))-(IF(A70&lt;='Immobilien-Kalkulation'!$B$69,F69*$D$21,F69*$D$29))-(('Immobilien-Kalkulation'!$B$96*D$19+'Immobilien-Kalkulation'!$B$59)*'Immobilien-Kalkulation'!$B$98)-'Immobilien-Kalkulation'!$B$101-(IF(A70=1,'Immobilien-Kalkulation'!$B$58,0)))*'Immobilien-Kalkulation'!$B$100,0))</f>
        <v>0</v>
      </c>
      <c r="E70" s="54">
        <f>IF(A70&gt;'Immobilien-Kalkulation'!$B$70,0,IF(A70&lt;='Immobilien-Kalkulation'!$B$69,MAX(0,E69-($B$34*($B$21+$B$22)-E69*$B$21)),MAX(0,E69-IFERROR(INDEX($E$53:$E$82,'Immobilien-Kalkulation'!$B$69)/MAX('Immobilien-Kalkulation'!$B$70-'Immobilien-Kalkulation'!$B$69,1),0))))</f>
        <v>181927.95797097572</v>
      </c>
      <c r="F70" s="54">
        <f>IF(A70&gt;'Immobilien-Kalkulation'!$B$70,0,IF(A70&lt;='Immobilien-Kalkulation'!$B$69,MAX(0,F69-($D$34*($D$21+$D$22)-F69*$D$21)),MAX(0,F69-IFERROR(INDEX($F$53:$F$82,'Immobilien-Kalkulation'!$B$69)/MAX('Immobilien-Kalkulation'!$B$70-'Immobilien-Kalkulation'!$B$69,1),0))))</f>
        <v>127836.78137783543</v>
      </c>
    </row>
    <row r="71" spans="1:6" x14ac:dyDescent="0.25">
      <c r="A71">
        <v>19</v>
      </c>
      <c r="B71" s="54">
        <f>IF(A71&gt;'Immobilien-Kalkulation'!$B$11,0,IFERROR(($B$32*(1-$B$25)*(1+$B$23)^(A71-1))-((('Immobilien-Kalkulation'!$B$93-'Immobilien-Kalkulation'!$B$87-'Immobilien-Kalkulation'!$B$92)*(1+$B$11)+$B$28+$B$27)*(1+'Immobilien-Kalkulation'!$B$16)^(A71-1))-(IF(A71&lt;='Immobilien-Kalkulation'!$B$69,$B$34*($B$21+$B$22),E70*$B$29+IFERROR(INDEX($E$53:$E$82,'Immobilien-Kalkulation'!$B$69)/MAX('Immobilien-Kalkulation'!$B$70-'Immobilien-Kalkulation'!$B$69,1),0)))-(($B$32*(1-$B$25)*(1+$B$23)^(A71-1))-((('Immobilien-Kalkulation'!$B$93-'Immobilien-Kalkulation'!$B$87-'Immobilien-Kalkulation'!$B$92)*(1+$B$11)+$B$28+$B$27)*(1+'Immobilien-Kalkulation'!$B$16)^(A71-1))-(IF(A71&lt;='Immobilien-Kalkulation'!$B$69,E70*$B$21,E70*$B$29))-(('Immobilien-Kalkulation'!$B$96*B$19+'Immobilien-Kalkulation'!$B$59)*'Immobilien-Kalkulation'!$B$98)-'Immobilien-Kalkulation'!$B$101-(IF(A71=1,'Immobilien-Kalkulation'!$B$58,0)))*'Immobilien-Kalkulation'!$B$100,0))</f>
        <v>0</v>
      </c>
      <c r="C71" s="54">
        <f>IF(A71&gt;'Immobilien-Kalkulation'!$B$11,0,IFERROR(INDEX('Immobilien-Kalkulation'!$B$112:$AE$112,1,A71),0))</f>
        <v>0</v>
      </c>
      <c r="D71" s="54">
        <f>IF(A71&gt;'Immobilien-Kalkulation'!$B$11,0,IFERROR(($D$32*(1-$D$25)*(1+$D$23)^(A71-1))-((('Immobilien-Kalkulation'!$B$93-'Immobilien-Kalkulation'!$B$87-'Immobilien-Kalkulation'!$B$92)*(1+$D$11)+$D$28+$D$27)*(1+'Immobilien-Kalkulation'!$B$16)^(A71-1))-(IF(A71&lt;='Immobilien-Kalkulation'!$B$69,$D$34*($D$21+$D$22),F70*$D$29+IFERROR(INDEX($F$53:$F$82,'Immobilien-Kalkulation'!$B$69)/MAX('Immobilien-Kalkulation'!$B$70-'Immobilien-Kalkulation'!$B$69,1),0)))-(($D$32*(1-$D$25)*(1+$D$23)^(A71-1))-((('Immobilien-Kalkulation'!$B$93-'Immobilien-Kalkulation'!$B$87-'Immobilien-Kalkulation'!$B$92)*(1+$D$11)+$D$28+$D$27)*(1+'Immobilien-Kalkulation'!$B$16)^(A71-1))-(IF(A71&lt;='Immobilien-Kalkulation'!$B$69,F70*$D$21,F70*$D$29))-(('Immobilien-Kalkulation'!$B$96*D$19+'Immobilien-Kalkulation'!$B$59)*'Immobilien-Kalkulation'!$B$98)-'Immobilien-Kalkulation'!$B$101-(IF(A71=1,'Immobilien-Kalkulation'!$B$58,0)))*'Immobilien-Kalkulation'!$B$100,0))</f>
        <v>0</v>
      </c>
      <c r="E71" s="54">
        <f>IF(A71&gt;'Immobilien-Kalkulation'!$B$70,0,IF(A71&lt;='Immobilien-Kalkulation'!$B$69,MAX(0,E70-($B$34*($B$21+$B$22)-E70*$B$21)),MAX(0,E70-IFERROR(INDEX($E$53:$E$82,'Immobilien-Kalkulation'!$B$69)/MAX('Immobilien-Kalkulation'!$B$70-'Immobilien-Kalkulation'!$B$69,1),0))))</f>
        <v>166767.29480672773</v>
      </c>
      <c r="F71" s="54">
        <f>IF(A71&gt;'Immobilien-Kalkulation'!$B$70,0,IF(A71&lt;='Immobilien-Kalkulation'!$B$69,MAX(0,F70-($D$34*($D$21+$D$22)-F70*$D$21)),MAX(0,F70-IFERROR(INDEX($F$53:$F$82,'Immobilien-Kalkulation'!$B$69)/MAX('Immobilien-Kalkulation'!$B$70-'Immobilien-Kalkulation'!$B$69,1),0))))</f>
        <v>117183.71626301581</v>
      </c>
    </row>
    <row r="72" spans="1:6" x14ac:dyDescent="0.25">
      <c r="A72">
        <v>20</v>
      </c>
      <c r="B72" s="54">
        <f>IF(A72&gt;'Immobilien-Kalkulation'!$B$11,0,IFERROR(($B$32*(1-$B$25)*(1+$B$23)^(A72-1))-((('Immobilien-Kalkulation'!$B$93-'Immobilien-Kalkulation'!$B$87-'Immobilien-Kalkulation'!$B$92)*(1+$B$11)+$B$28+$B$27)*(1+'Immobilien-Kalkulation'!$B$16)^(A72-1))-(IF(A72&lt;='Immobilien-Kalkulation'!$B$69,$B$34*($B$21+$B$22),E71*$B$29+IFERROR(INDEX($E$53:$E$82,'Immobilien-Kalkulation'!$B$69)/MAX('Immobilien-Kalkulation'!$B$70-'Immobilien-Kalkulation'!$B$69,1),0)))-(($B$32*(1-$B$25)*(1+$B$23)^(A72-1))-((('Immobilien-Kalkulation'!$B$93-'Immobilien-Kalkulation'!$B$87-'Immobilien-Kalkulation'!$B$92)*(1+$B$11)+$B$28+$B$27)*(1+'Immobilien-Kalkulation'!$B$16)^(A72-1))-(IF(A72&lt;='Immobilien-Kalkulation'!$B$69,E71*$B$21,E71*$B$29))-(('Immobilien-Kalkulation'!$B$96*B$19+'Immobilien-Kalkulation'!$B$59)*'Immobilien-Kalkulation'!$B$98)-'Immobilien-Kalkulation'!$B$101-(IF(A72=1,'Immobilien-Kalkulation'!$B$58,0)))*'Immobilien-Kalkulation'!$B$100,0))</f>
        <v>0</v>
      </c>
      <c r="C72" s="54">
        <f>IF(A72&gt;'Immobilien-Kalkulation'!$B$11,0,IFERROR(INDEX('Immobilien-Kalkulation'!$B$112:$AE$112,1,A72),0))</f>
        <v>0</v>
      </c>
      <c r="D72" s="54">
        <f>IF(A72&gt;'Immobilien-Kalkulation'!$B$11,0,IFERROR(($D$32*(1-$D$25)*(1+$D$23)^(A72-1))-((('Immobilien-Kalkulation'!$B$93-'Immobilien-Kalkulation'!$B$87-'Immobilien-Kalkulation'!$B$92)*(1+$D$11)+$D$28+$D$27)*(1+'Immobilien-Kalkulation'!$B$16)^(A72-1))-(IF(A72&lt;='Immobilien-Kalkulation'!$B$69,$D$34*($D$21+$D$22),F71*$D$29+IFERROR(INDEX($F$53:$F$82,'Immobilien-Kalkulation'!$B$69)/MAX('Immobilien-Kalkulation'!$B$70-'Immobilien-Kalkulation'!$B$69,1),0)))-(($D$32*(1-$D$25)*(1+$D$23)^(A72-1))-((('Immobilien-Kalkulation'!$B$93-'Immobilien-Kalkulation'!$B$87-'Immobilien-Kalkulation'!$B$92)*(1+$D$11)+$D$28+$D$27)*(1+'Immobilien-Kalkulation'!$B$16)^(A72-1))-(IF(A72&lt;='Immobilien-Kalkulation'!$B$69,F71*$D$21,F71*$D$29))-(('Immobilien-Kalkulation'!$B$96*D$19+'Immobilien-Kalkulation'!$B$59)*'Immobilien-Kalkulation'!$B$98)-'Immobilien-Kalkulation'!$B$101-(IF(A72=1,'Immobilien-Kalkulation'!$B$58,0)))*'Immobilien-Kalkulation'!$B$100,0))</f>
        <v>0</v>
      </c>
      <c r="E72" s="54">
        <f>IF(A72&gt;'Immobilien-Kalkulation'!$B$70,0,IF(A72&lt;='Immobilien-Kalkulation'!$B$69,MAX(0,E71-($B$34*($B$21+$B$22)-E71*$B$21)),MAX(0,E71-IFERROR(INDEX($E$53:$E$82,'Immobilien-Kalkulation'!$B$69)/MAX('Immobilien-Kalkulation'!$B$70-'Immobilien-Kalkulation'!$B$69,1),0))))</f>
        <v>151606.63164247974</v>
      </c>
      <c r="F72" s="54">
        <f>IF(A72&gt;'Immobilien-Kalkulation'!$B$70,0,IF(A72&lt;='Immobilien-Kalkulation'!$B$69,MAX(0,F71-($D$34*($D$21+$D$22)-F71*$D$21)),MAX(0,F71-IFERROR(INDEX($F$53:$F$82,'Immobilien-Kalkulation'!$B$69)/MAX('Immobilien-Kalkulation'!$B$70-'Immobilien-Kalkulation'!$B$69,1),0))))</f>
        <v>106530.65114819619</v>
      </c>
    </row>
    <row r="73" spans="1:6" x14ac:dyDescent="0.25">
      <c r="A73">
        <v>21</v>
      </c>
      <c r="B73" s="54">
        <f>IF(A73&gt;'Immobilien-Kalkulation'!$B$11,0,IFERROR(($B$32*(1-$B$25)*(1+$B$23)^(A73-1))-((('Immobilien-Kalkulation'!$B$93-'Immobilien-Kalkulation'!$B$87-'Immobilien-Kalkulation'!$B$92)*(1+$B$11)+$B$28+$B$27)*(1+'Immobilien-Kalkulation'!$B$16)^(A73-1))-(IF(A73&lt;='Immobilien-Kalkulation'!$B$69,$B$34*($B$21+$B$22),E72*$B$29+IFERROR(INDEX($E$53:$E$82,'Immobilien-Kalkulation'!$B$69)/MAX('Immobilien-Kalkulation'!$B$70-'Immobilien-Kalkulation'!$B$69,1),0)))-(($B$32*(1-$B$25)*(1+$B$23)^(A73-1))-((('Immobilien-Kalkulation'!$B$93-'Immobilien-Kalkulation'!$B$87-'Immobilien-Kalkulation'!$B$92)*(1+$B$11)+$B$28+$B$27)*(1+'Immobilien-Kalkulation'!$B$16)^(A73-1))-(IF(A73&lt;='Immobilien-Kalkulation'!$B$69,E72*$B$21,E72*$B$29))-(('Immobilien-Kalkulation'!$B$96*B$19+'Immobilien-Kalkulation'!$B$59)*'Immobilien-Kalkulation'!$B$98)-'Immobilien-Kalkulation'!$B$101-(IF(A73=1,'Immobilien-Kalkulation'!$B$58,0)))*'Immobilien-Kalkulation'!$B$100,0))</f>
        <v>0</v>
      </c>
      <c r="C73" s="54">
        <f>IF(A73&gt;'Immobilien-Kalkulation'!$B$11,0,IFERROR(INDEX('Immobilien-Kalkulation'!$B$112:$AE$112,1,A73),0))</f>
        <v>0</v>
      </c>
      <c r="D73" s="54">
        <f>IF(A73&gt;'Immobilien-Kalkulation'!$B$11,0,IFERROR(($D$32*(1-$D$25)*(1+$D$23)^(A73-1))-((('Immobilien-Kalkulation'!$B$93-'Immobilien-Kalkulation'!$B$87-'Immobilien-Kalkulation'!$B$92)*(1+$D$11)+$D$28+$D$27)*(1+'Immobilien-Kalkulation'!$B$16)^(A73-1))-(IF(A73&lt;='Immobilien-Kalkulation'!$B$69,$D$34*($D$21+$D$22),F72*$D$29+IFERROR(INDEX($F$53:$F$82,'Immobilien-Kalkulation'!$B$69)/MAX('Immobilien-Kalkulation'!$B$70-'Immobilien-Kalkulation'!$B$69,1),0)))-(($D$32*(1-$D$25)*(1+$D$23)^(A73-1))-((('Immobilien-Kalkulation'!$B$93-'Immobilien-Kalkulation'!$B$87-'Immobilien-Kalkulation'!$B$92)*(1+$D$11)+$D$28+$D$27)*(1+'Immobilien-Kalkulation'!$B$16)^(A73-1))-(IF(A73&lt;='Immobilien-Kalkulation'!$B$69,F72*$D$21,F72*$D$29))-(('Immobilien-Kalkulation'!$B$96*D$19+'Immobilien-Kalkulation'!$B$59)*'Immobilien-Kalkulation'!$B$98)-'Immobilien-Kalkulation'!$B$101-(IF(A73=1,'Immobilien-Kalkulation'!$B$58,0)))*'Immobilien-Kalkulation'!$B$100,0))</f>
        <v>0</v>
      </c>
      <c r="E73" s="54">
        <f>IF(A73&gt;'Immobilien-Kalkulation'!$B$70,0,IF(A73&lt;='Immobilien-Kalkulation'!$B$69,MAX(0,E72-($B$34*($B$21+$B$22)-E72*$B$21)),MAX(0,E72-IFERROR(INDEX($E$53:$E$82,'Immobilien-Kalkulation'!$B$69)/MAX('Immobilien-Kalkulation'!$B$70-'Immobilien-Kalkulation'!$B$69,1),0))))</f>
        <v>136445.96847823175</v>
      </c>
      <c r="F73" s="54">
        <f>IF(A73&gt;'Immobilien-Kalkulation'!$B$70,0,IF(A73&lt;='Immobilien-Kalkulation'!$B$69,MAX(0,F72-($D$34*($D$21+$D$22)-F72*$D$21)),MAX(0,F72-IFERROR(INDEX($F$53:$F$82,'Immobilien-Kalkulation'!$B$69)/MAX('Immobilien-Kalkulation'!$B$70-'Immobilien-Kalkulation'!$B$69,1),0))))</f>
        <v>95877.586033376574</v>
      </c>
    </row>
    <row r="74" spans="1:6" x14ac:dyDescent="0.25">
      <c r="A74">
        <v>22</v>
      </c>
      <c r="B74" s="54">
        <f>IF(A74&gt;'Immobilien-Kalkulation'!$B$11,0,IFERROR(($B$32*(1-$B$25)*(1+$B$23)^(A74-1))-((('Immobilien-Kalkulation'!$B$93-'Immobilien-Kalkulation'!$B$87-'Immobilien-Kalkulation'!$B$92)*(1+$B$11)+$B$28+$B$27)*(1+'Immobilien-Kalkulation'!$B$16)^(A74-1))-(IF(A74&lt;='Immobilien-Kalkulation'!$B$69,$B$34*($B$21+$B$22),E73*$B$29+IFERROR(INDEX($E$53:$E$82,'Immobilien-Kalkulation'!$B$69)/MAX('Immobilien-Kalkulation'!$B$70-'Immobilien-Kalkulation'!$B$69,1),0)))-(($B$32*(1-$B$25)*(1+$B$23)^(A74-1))-((('Immobilien-Kalkulation'!$B$93-'Immobilien-Kalkulation'!$B$87-'Immobilien-Kalkulation'!$B$92)*(1+$B$11)+$B$28+$B$27)*(1+'Immobilien-Kalkulation'!$B$16)^(A74-1))-(IF(A74&lt;='Immobilien-Kalkulation'!$B$69,E73*$B$21,E73*$B$29))-(('Immobilien-Kalkulation'!$B$96*B$19+'Immobilien-Kalkulation'!$B$59)*'Immobilien-Kalkulation'!$B$98)-'Immobilien-Kalkulation'!$B$101-(IF(A74=1,'Immobilien-Kalkulation'!$B$58,0)))*'Immobilien-Kalkulation'!$B$100,0))</f>
        <v>0</v>
      </c>
      <c r="C74" s="54">
        <f>IF(A74&gt;'Immobilien-Kalkulation'!$B$11,0,IFERROR(INDEX('Immobilien-Kalkulation'!$B$112:$AE$112,1,A74),0))</f>
        <v>0</v>
      </c>
      <c r="D74" s="54">
        <f>IF(A74&gt;'Immobilien-Kalkulation'!$B$11,0,IFERROR(($D$32*(1-$D$25)*(1+$D$23)^(A74-1))-((('Immobilien-Kalkulation'!$B$93-'Immobilien-Kalkulation'!$B$87-'Immobilien-Kalkulation'!$B$92)*(1+$D$11)+$D$28+$D$27)*(1+'Immobilien-Kalkulation'!$B$16)^(A74-1))-(IF(A74&lt;='Immobilien-Kalkulation'!$B$69,$D$34*($D$21+$D$22),F73*$D$29+IFERROR(INDEX($F$53:$F$82,'Immobilien-Kalkulation'!$B$69)/MAX('Immobilien-Kalkulation'!$B$70-'Immobilien-Kalkulation'!$B$69,1),0)))-(($D$32*(1-$D$25)*(1+$D$23)^(A74-1))-((('Immobilien-Kalkulation'!$B$93-'Immobilien-Kalkulation'!$B$87-'Immobilien-Kalkulation'!$B$92)*(1+$D$11)+$D$28+$D$27)*(1+'Immobilien-Kalkulation'!$B$16)^(A74-1))-(IF(A74&lt;='Immobilien-Kalkulation'!$B$69,F73*$D$21,F73*$D$29))-(('Immobilien-Kalkulation'!$B$96*D$19+'Immobilien-Kalkulation'!$B$59)*'Immobilien-Kalkulation'!$B$98)-'Immobilien-Kalkulation'!$B$101-(IF(A74=1,'Immobilien-Kalkulation'!$B$58,0)))*'Immobilien-Kalkulation'!$B$100,0))</f>
        <v>0</v>
      </c>
      <c r="E74" s="54">
        <f>IF(A74&gt;'Immobilien-Kalkulation'!$B$70,0,IF(A74&lt;='Immobilien-Kalkulation'!$B$69,MAX(0,E73-($B$34*($B$21+$B$22)-E73*$B$21)),MAX(0,E73-IFERROR(INDEX($E$53:$E$82,'Immobilien-Kalkulation'!$B$69)/MAX('Immobilien-Kalkulation'!$B$70-'Immobilien-Kalkulation'!$B$69,1),0))))</f>
        <v>121285.30531398377</v>
      </c>
      <c r="F74" s="54">
        <f>IF(A74&gt;'Immobilien-Kalkulation'!$B$70,0,IF(A74&lt;='Immobilien-Kalkulation'!$B$69,MAX(0,F73-($D$34*($D$21+$D$22)-F73*$D$21)),MAX(0,F73-IFERROR(INDEX($F$53:$F$82,'Immobilien-Kalkulation'!$B$69)/MAX('Immobilien-Kalkulation'!$B$70-'Immobilien-Kalkulation'!$B$69,1),0))))</f>
        <v>85224.520918556955</v>
      </c>
    </row>
    <row r="75" spans="1:6" x14ac:dyDescent="0.25">
      <c r="A75">
        <v>23</v>
      </c>
      <c r="B75" s="54">
        <f>IF(A75&gt;'Immobilien-Kalkulation'!$B$11,0,IFERROR(($B$32*(1-$B$25)*(1+$B$23)^(A75-1))-((('Immobilien-Kalkulation'!$B$93-'Immobilien-Kalkulation'!$B$87-'Immobilien-Kalkulation'!$B$92)*(1+$B$11)+$B$28+$B$27)*(1+'Immobilien-Kalkulation'!$B$16)^(A75-1))-(IF(A75&lt;='Immobilien-Kalkulation'!$B$69,$B$34*($B$21+$B$22),E74*$B$29+IFERROR(INDEX($E$53:$E$82,'Immobilien-Kalkulation'!$B$69)/MAX('Immobilien-Kalkulation'!$B$70-'Immobilien-Kalkulation'!$B$69,1),0)))-(($B$32*(1-$B$25)*(1+$B$23)^(A75-1))-((('Immobilien-Kalkulation'!$B$93-'Immobilien-Kalkulation'!$B$87-'Immobilien-Kalkulation'!$B$92)*(1+$B$11)+$B$28+$B$27)*(1+'Immobilien-Kalkulation'!$B$16)^(A75-1))-(IF(A75&lt;='Immobilien-Kalkulation'!$B$69,E74*$B$21,E74*$B$29))-(('Immobilien-Kalkulation'!$B$96*B$19+'Immobilien-Kalkulation'!$B$59)*'Immobilien-Kalkulation'!$B$98)-'Immobilien-Kalkulation'!$B$101-(IF(A75=1,'Immobilien-Kalkulation'!$B$58,0)))*'Immobilien-Kalkulation'!$B$100,0))</f>
        <v>0</v>
      </c>
      <c r="C75" s="54">
        <f>IF(A75&gt;'Immobilien-Kalkulation'!$B$11,0,IFERROR(INDEX('Immobilien-Kalkulation'!$B$112:$AE$112,1,A75),0))</f>
        <v>0</v>
      </c>
      <c r="D75" s="54">
        <f>IF(A75&gt;'Immobilien-Kalkulation'!$B$11,0,IFERROR(($D$32*(1-$D$25)*(1+$D$23)^(A75-1))-((('Immobilien-Kalkulation'!$B$93-'Immobilien-Kalkulation'!$B$87-'Immobilien-Kalkulation'!$B$92)*(1+$D$11)+$D$28+$D$27)*(1+'Immobilien-Kalkulation'!$B$16)^(A75-1))-(IF(A75&lt;='Immobilien-Kalkulation'!$B$69,$D$34*($D$21+$D$22),F74*$D$29+IFERROR(INDEX($F$53:$F$82,'Immobilien-Kalkulation'!$B$69)/MAX('Immobilien-Kalkulation'!$B$70-'Immobilien-Kalkulation'!$B$69,1),0)))-(($D$32*(1-$D$25)*(1+$D$23)^(A75-1))-((('Immobilien-Kalkulation'!$B$93-'Immobilien-Kalkulation'!$B$87-'Immobilien-Kalkulation'!$B$92)*(1+$D$11)+$D$28+$D$27)*(1+'Immobilien-Kalkulation'!$B$16)^(A75-1))-(IF(A75&lt;='Immobilien-Kalkulation'!$B$69,F74*$D$21,F74*$D$29))-(('Immobilien-Kalkulation'!$B$96*D$19+'Immobilien-Kalkulation'!$B$59)*'Immobilien-Kalkulation'!$B$98)-'Immobilien-Kalkulation'!$B$101-(IF(A75=1,'Immobilien-Kalkulation'!$B$58,0)))*'Immobilien-Kalkulation'!$B$100,0))</f>
        <v>0</v>
      </c>
      <c r="E75" s="54">
        <f>IF(A75&gt;'Immobilien-Kalkulation'!$B$70,0,IF(A75&lt;='Immobilien-Kalkulation'!$B$69,MAX(0,E74-($B$34*($B$21+$B$22)-E74*$B$21)),MAX(0,E74-IFERROR(INDEX($E$53:$E$82,'Immobilien-Kalkulation'!$B$69)/MAX('Immobilien-Kalkulation'!$B$70-'Immobilien-Kalkulation'!$B$69,1),0))))</f>
        <v>106124.6421497358</v>
      </c>
      <c r="F75" s="54">
        <f>IF(A75&gt;'Immobilien-Kalkulation'!$B$70,0,IF(A75&lt;='Immobilien-Kalkulation'!$B$69,MAX(0,F74-($D$34*($D$21+$D$22)-F74*$D$21)),MAX(0,F74-IFERROR(INDEX($F$53:$F$82,'Immobilien-Kalkulation'!$B$69)/MAX('Immobilien-Kalkulation'!$B$70-'Immobilien-Kalkulation'!$B$69,1),0))))</f>
        <v>74571.455803737335</v>
      </c>
    </row>
    <row r="76" spans="1:6" x14ac:dyDescent="0.25">
      <c r="A76">
        <v>24</v>
      </c>
      <c r="B76" s="54">
        <f>IF(A76&gt;'Immobilien-Kalkulation'!$B$11,0,IFERROR(($B$32*(1-$B$25)*(1+$B$23)^(A76-1))-((('Immobilien-Kalkulation'!$B$93-'Immobilien-Kalkulation'!$B$87-'Immobilien-Kalkulation'!$B$92)*(1+$B$11)+$B$28+$B$27)*(1+'Immobilien-Kalkulation'!$B$16)^(A76-1))-(IF(A76&lt;='Immobilien-Kalkulation'!$B$69,$B$34*($B$21+$B$22),E75*$B$29+IFERROR(INDEX($E$53:$E$82,'Immobilien-Kalkulation'!$B$69)/MAX('Immobilien-Kalkulation'!$B$70-'Immobilien-Kalkulation'!$B$69,1),0)))-(($B$32*(1-$B$25)*(1+$B$23)^(A76-1))-((('Immobilien-Kalkulation'!$B$93-'Immobilien-Kalkulation'!$B$87-'Immobilien-Kalkulation'!$B$92)*(1+$B$11)+$B$28+$B$27)*(1+'Immobilien-Kalkulation'!$B$16)^(A76-1))-(IF(A76&lt;='Immobilien-Kalkulation'!$B$69,E75*$B$21,E75*$B$29))-(('Immobilien-Kalkulation'!$B$96*B$19+'Immobilien-Kalkulation'!$B$59)*'Immobilien-Kalkulation'!$B$98)-'Immobilien-Kalkulation'!$B$101-(IF(A76=1,'Immobilien-Kalkulation'!$B$58,0)))*'Immobilien-Kalkulation'!$B$100,0))</f>
        <v>0</v>
      </c>
      <c r="C76" s="54">
        <f>IF(A76&gt;'Immobilien-Kalkulation'!$B$11,0,IFERROR(INDEX('Immobilien-Kalkulation'!$B$112:$AE$112,1,A76),0))</f>
        <v>0</v>
      </c>
      <c r="D76" s="54">
        <f>IF(A76&gt;'Immobilien-Kalkulation'!$B$11,0,IFERROR(($D$32*(1-$D$25)*(1+$D$23)^(A76-1))-((('Immobilien-Kalkulation'!$B$93-'Immobilien-Kalkulation'!$B$87-'Immobilien-Kalkulation'!$B$92)*(1+$D$11)+$D$28+$D$27)*(1+'Immobilien-Kalkulation'!$B$16)^(A76-1))-(IF(A76&lt;='Immobilien-Kalkulation'!$B$69,$D$34*($D$21+$D$22),F75*$D$29+IFERROR(INDEX($F$53:$F$82,'Immobilien-Kalkulation'!$B$69)/MAX('Immobilien-Kalkulation'!$B$70-'Immobilien-Kalkulation'!$B$69,1),0)))-(($D$32*(1-$D$25)*(1+$D$23)^(A76-1))-((('Immobilien-Kalkulation'!$B$93-'Immobilien-Kalkulation'!$B$87-'Immobilien-Kalkulation'!$B$92)*(1+$D$11)+$D$28+$D$27)*(1+'Immobilien-Kalkulation'!$B$16)^(A76-1))-(IF(A76&lt;='Immobilien-Kalkulation'!$B$69,F75*$D$21,F75*$D$29))-(('Immobilien-Kalkulation'!$B$96*D$19+'Immobilien-Kalkulation'!$B$59)*'Immobilien-Kalkulation'!$B$98)-'Immobilien-Kalkulation'!$B$101-(IF(A76=1,'Immobilien-Kalkulation'!$B$58,0)))*'Immobilien-Kalkulation'!$B$100,0))</f>
        <v>0</v>
      </c>
      <c r="E76" s="54">
        <f>IF(A76&gt;'Immobilien-Kalkulation'!$B$70,0,IF(A76&lt;='Immobilien-Kalkulation'!$B$69,MAX(0,E75-($B$34*($B$21+$B$22)-E75*$B$21)),MAX(0,E75-IFERROR(INDEX($E$53:$E$82,'Immobilien-Kalkulation'!$B$69)/MAX('Immobilien-Kalkulation'!$B$70-'Immobilien-Kalkulation'!$B$69,1),0))))</f>
        <v>90963.978985487818</v>
      </c>
      <c r="F76" s="54">
        <f>IF(A76&gt;'Immobilien-Kalkulation'!$B$70,0,IF(A76&lt;='Immobilien-Kalkulation'!$B$69,MAX(0,F75-($D$34*($D$21+$D$22)-F75*$D$21)),MAX(0,F75-IFERROR(INDEX($F$53:$F$82,'Immobilien-Kalkulation'!$B$69)/MAX('Immobilien-Kalkulation'!$B$70-'Immobilien-Kalkulation'!$B$69,1),0))))</f>
        <v>63918.390688917716</v>
      </c>
    </row>
    <row r="77" spans="1:6" x14ac:dyDescent="0.25">
      <c r="A77">
        <v>25</v>
      </c>
      <c r="B77" s="54">
        <f>IF(A77&gt;'Immobilien-Kalkulation'!$B$11,0,IFERROR(($B$32*(1-$B$25)*(1+$B$23)^(A77-1))-((('Immobilien-Kalkulation'!$B$93-'Immobilien-Kalkulation'!$B$87-'Immobilien-Kalkulation'!$B$92)*(1+$B$11)+$B$28+$B$27)*(1+'Immobilien-Kalkulation'!$B$16)^(A77-1))-(IF(A77&lt;='Immobilien-Kalkulation'!$B$69,$B$34*($B$21+$B$22),E76*$B$29+IFERROR(INDEX($E$53:$E$82,'Immobilien-Kalkulation'!$B$69)/MAX('Immobilien-Kalkulation'!$B$70-'Immobilien-Kalkulation'!$B$69,1),0)))-(($B$32*(1-$B$25)*(1+$B$23)^(A77-1))-((('Immobilien-Kalkulation'!$B$93-'Immobilien-Kalkulation'!$B$87-'Immobilien-Kalkulation'!$B$92)*(1+$B$11)+$B$28+$B$27)*(1+'Immobilien-Kalkulation'!$B$16)^(A77-1))-(IF(A77&lt;='Immobilien-Kalkulation'!$B$69,E76*$B$21,E76*$B$29))-(('Immobilien-Kalkulation'!$B$96*B$19+'Immobilien-Kalkulation'!$B$59)*'Immobilien-Kalkulation'!$B$98)-'Immobilien-Kalkulation'!$B$101-(IF(A77=1,'Immobilien-Kalkulation'!$B$58,0)))*'Immobilien-Kalkulation'!$B$100,0))</f>
        <v>0</v>
      </c>
      <c r="C77" s="54">
        <f>IF(A77&gt;'Immobilien-Kalkulation'!$B$11,0,IFERROR(INDEX('Immobilien-Kalkulation'!$B$112:$AE$112,1,A77),0))</f>
        <v>0</v>
      </c>
      <c r="D77" s="54">
        <f>IF(A77&gt;'Immobilien-Kalkulation'!$B$11,0,IFERROR(($D$32*(1-$D$25)*(1+$D$23)^(A77-1))-((('Immobilien-Kalkulation'!$B$93-'Immobilien-Kalkulation'!$B$87-'Immobilien-Kalkulation'!$B$92)*(1+$D$11)+$D$28+$D$27)*(1+'Immobilien-Kalkulation'!$B$16)^(A77-1))-(IF(A77&lt;='Immobilien-Kalkulation'!$B$69,$D$34*($D$21+$D$22),F76*$D$29+IFERROR(INDEX($F$53:$F$82,'Immobilien-Kalkulation'!$B$69)/MAX('Immobilien-Kalkulation'!$B$70-'Immobilien-Kalkulation'!$B$69,1),0)))-(($D$32*(1-$D$25)*(1+$D$23)^(A77-1))-((('Immobilien-Kalkulation'!$B$93-'Immobilien-Kalkulation'!$B$87-'Immobilien-Kalkulation'!$B$92)*(1+$D$11)+$D$28+$D$27)*(1+'Immobilien-Kalkulation'!$B$16)^(A77-1))-(IF(A77&lt;='Immobilien-Kalkulation'!$B$69,F76*$D$21,F76*$D$29))-(('Immobilien-Kalkulation'!$B$96*D$19+'Immobilien-Kalkulation'!$B$59)*'Immobilien-Kalkulation'!$B$98)-'Immobilien-Kalkulation'!$B$101-(IF(A77=1,'Immobilien-Kalkulation'!$B$58,0)))*'Immobilien-Kalkulation'!$B$100,0))</f>
        <v>0</v>
      </c>
      <c r="E77" s="54">
        <f>IF(A77&gt;'Immobilien-Kalkulation'!$B$70,0,IF(A77&lt;='Immobilien-Kalkulation'!$B$69,MAX(0,E76-($B$34*($B$21+$B$22)-E76*$B$21)),MAX(0,E76-IFERROR(INDEX($E$53:$E$82,'Immobilien-Kalkulation'!$B$69)/MAX('Immobilien-Kalkulation'!$B$70-'Immobilien-Kalkulation'!$B$69,1),0))))</f>
        <v>75803.315821239841</v>
      </c>
      <c r="F77" s="54">
        <f>IF(A77&gt;'Immobilien-Kalkulation'!$B$70,0,IF(A77&lt;='Immobilien-Kalkulation'!$B$69,MAX(0,F76-($D$34*($D$21+$D$22)-F76*$D$21)),MAX(0,F76-IFERROR(INDEX($F$53:$F$82,'Immobilien-Kalkulation'!$B$69)/MAX('Immobilien-Kalkulation'!$B$70-'Immobilien-Kalkulation'!$B$69,1),0))))</f>
        <v>53265.325574098097</v>
      </c>
    </row>
    <row r="78" spans="1:6" x14ac:dyDescent="0.25">
      <c r="A78">
        <v>26</v>
      </c>
      <c r="B78" s="54">
        <f>IF(A78&gt;'Immobilien-Kalkulation'!$B$11,0,IFERROR(($B$32*(1-$B$25)*(1+$B$23)^(A78-1))-((('Immobilien-Kalkulation'!$B$93-'Immobilien-Kalkulation'!$B$87-'Immobilien-Kalkulation'!$B$92)*(1+$B$11)+$B$28+$B$27)*(1+'Immobilien-Kalkulation'!$B$16)^(A78-1))-(IF(A78&lt;='Immobilien-Kalkulation'!$B$69,$B$34*($B$21+$B$22),E77*$B$29+IFERROR(INDEX($E$53:$E$82,'Immobilien-Kalkulation'!$B$69)/MAX('Immobilien-Kalkulation'!$B$70-'Immobilien-Kalkulation'!$B$69,1),0)))-(($B$32*(1-$B$25)*(1+$B$23)^(A78-1))-((('Immobilien-Kalkulation'!$B$93-'Immobilien-Kalkulation'!$B$87-'Immobilien-Kalkulation'!$B$92)*(1+$B$11)+$B$28+$B$27)*(1+'Immobilien-Kalkulation'!$B$16)^(A78-1))-(IF(A78&lt;='Immobilien-Kalkulation'!$B$69,E77*$B$21,E77*$B$29))-(('Immobilien-Kalkulation'!$B$96*B$19+'Immobilien-Kalkulation'!$B$59)*'Immobilien-Kalkulation'!$B$98)-'Immobilien-Kalkulation'!$B$101-(IF(A78=1,'Immobilien-Kalkulation'!$B$58,0)))*'Immobilien-Kalkulation'!$B$100,0))</f>
        <v>0</v>
      </c>
      <c r="C78" s="54">
        <f>IF(A78&gt;'Immobilien-Kalkulation'!$B$11,0,IFERROR(INDEX('Immobilien-Kalkulation'!$B$112:$AE$112,1,A78),0))</f>
        <v>0</v>
      </c>
      <c r="D78" s="54">
        <f>IF(A78&gt;'Immobilien-Kalkulation'!$B$11,0,IFERROR(($D$32*(1-$D$25)*(1+$D$23)^(A78-1))-((('Immobilien-Kalkulation'!$B$93-'Immobilien-Kalkulation'!$B$87-'Immobilien-Kalkulation'!$B$92)*(1+$D$11)+$D$28+$D$27)*(1+'Immobilien-Kalkulation'!$B$16)^(A78-1))-(IF(A78&lt;='Immobilien-Kalkulation'!$B$69,$D$34*($D$21+$D$22),F77*$D$29+IFERROR(INDEX($F$53:$F$82,'Immobilien-Kalkulation'!$B$69)/MAX('Immobilien-Kalkulation'!$B$70-'Immobilien-Kalkulation'!$B$69,1),0)))-(($D$32*(1-$D$25)*(1+$D$23)^(A78-1))-((('Immobilien-Kalkulation'!$B$93-'Immobilien-Kalkulation'!$B$87-'Immobilien-Kalkulation'!$B$92)*(1+$D$11)+$D$28+$D$27)*(1+'Immobilien-Kalkulation'!$B$16)^(A78-1))-(IF(A78&lt;='Immobilien-Kalkulation'!$B$69,F77*$D$21,F77*$D$29))-(('Immobilien-Kalkulation'!$B$96*D$19+'Immobilien-Kalkulation'!$B$59)*'Immobilien-Kalkulation'!$B$98)-'Immobilien-Kalkulation'!$B$101-(IF(A78=1,'Immobilien-Kalkulation'!$B$58,0)))*'Immobilien-Kalkulation'!$B$100,0))</f>
        <v>0</v>
      </c>
      <c r="E78" s="54">
        <f>IF(A78&gt;'Immobilien-Kalkulation'!$B$70,0,IF(A78&lt;='Immobilien-Kalkulation'!$B$69,MAX(0,E77-($B$34*($B$21+$B$22)-E77*$B$21)),MAX(0,E77-IFERROR(INDEX($E$53:$E$82,'Immobilien-Kalkulation'!$B$69)/MAX('Immobilien-Kalkulation'!$B$70-'Immobilien-Kalkulation'!$B$69,1),0))))</f>
        <v>60642.652656991857</v>
      </c>
      <c r="F78" s="54">
        <f>IF(A78&gt;'Immobilien-Kalkulation'!$B$70,0,IF(A78&lt;='Immobilien-Kalkulation'!$B$69,MAX(0,F77-($D$34*($D$21+$D$22)-F77*$D$21)),MAX(0,F77-IFERROR(INDEX($F$53:$F$82,'Immobilien-Kalkulation'!$B$69)/MAX('Immobilien-Kalkulation'!$B$70-'Immobilien-Kalkulation'!$B$69,1),0))))</f>
        <v>42612.260459278477</v>
      </c>
    </row>
    <row r="79" spans="1:6" x14ac:dyDescent="0.25">
      <c r="A79">
        <v>27</v>
      </c>
      <c r="B79" s="54">
        <f>IF(A79&gt;'Immobilien-Kalkulation'!$B$11,0,IFERROR(($B$32*(1-$B$25)*(1+$B$23)^(A79-1))-((('Immobilien-Kalkulation'!$B$93-'Immobilien-Kalkulation'!$B$87-'Immobilien-Kalkulation'!$B$92)*(1+$B$11)+$B$28+$B$27)*(1+'Immobilien-Kalkulation'!$B$16)^(A79-1))-(IF(A79&lt;='Immobilien-Kalkulation'!$B$69,$B$34*($B$21+$B$22),E78*$B$29+IFERROR(INDEX($E$53:$E$82,'Immobilien-Kalkulation'!$B$69)/MAX('Immobilien-Kalkulation'!$B$70-'Immobilien-Kalkulation'!$B$69,1),0)))-(($B$32*(1-$B$25)*(1+$B$23)^(A79-1))-((('Immobilien-Kalkulation'!$B$93-'Immobilien-Kalkulation'!$B$87-'Immobilien-Kalkulation'!$B$92)*(1+$B$11)+$B$28+$B$27)*(1+'Immobilien-Kalkulation'!$B$16)^(A79-1))-(IF(A79&lt;='Immobilien-Kalkulation'!$B$69,E78*$B$21,E78*$B$29))-(('Immobilien-Kalkulation'!$B$96*B$19+'Immobilien-Kalkulation'!$B$59)*'Immobilien-Kalkulation'!$B$98)-'Immobilien-Kalkulation'!$B$101-(IF(A79=1,'Immobilien-Kalkulation'!$B$58,0)))*'Immobilien-Kalkulation'!$B$100,0))</f>
        <v>0</v>
      </c>
      <c r="C79" s="54">
        <f>IF(A79&gt;'Immobilien-Kalkulation'!$B$11,0,IFERROR(INDEX('Immobilien-Kalkulation'!$B$112:$AE$112,1,A79),0))</f>
        <v>0</v>
      </c>
      <c r="D79" s="54">
        <f>IF(A79&gt;'Immobilien-Kalkulation'!$B$11,0,IFERROR(($D$32*(1-$D$25)*(1+$D$23)^(A79-1))-((('Immobilien-Kalkulation'!$B$93-'Immobilien-Kalkulation'!$B$87-'Immobilien-Kalkulation'!$B$92)*(1+$D$11)+$D$28+$D$27)*(1+'Immobilien-Kalkulation'!$B$16)^(A79-1))-(IF(A79&lt;='Immobilien-Kalkulation'!$B$69,$D$34*($D$21+$D$22),F78*$D$29+IFERROR(INDEX($F$53:$F$82,'Immobilien-Kalkulation'!$B$69)/MAX('Immobilien-Kalkulation'!$B$70-'Immobilien-Kalkulation'!$B$69,1),0)))-(($D$32*(1-$D$25)*(1+$D$23)^(A79-1))-((('Immobilien-Kalkulation'!$B$93-'Immobilien-Kalkulation'!$B$87-'Immobilien-Kalkulation'!$B$92)*(1+$D$11)+$D$28+$D$27)*(1+'Immobilien-Kalkulation'!$B$16)^(A79-1))-(IF(A79&lt;='Immobilien-Kalkulation'!$B$69,F78*$D$21,F78*$D$29))-(('Immobilien-Kalkulation'!$B$96*D$19+'Immobilien-Kalkulation'!$B$59)*'Immobilien-Kalkulation'!$B$98)-'Immobilien-Kalkulation'!$B$101-(IF(A79=1,'Immobilien-Kalkulation'!$B$58,0)))*'Immobilien-Kalkulation'!$B$100,0))</f>
        <v>0</v>
      </c>
      <c r="E79" s="54">
        <f>IF(A79&gt;'Immobilien-Kalkulation'!$B$70,0,IF(A79&lt;='Immobilien-Kalkulation'!$B$69,MAX(0,E78-($B$34*($B$21+$B$22)-E78*$B$21)),MAX(0,E78-IFERROR(INDEX($E$53:$E$82,'Immobilien-Kalkulation'!$B$69)/MAX('Immobilien-Kalkulation'!$B$70-'Immobilien-Kalkulation'!$B$69,1),0))))</f>
        <v>45481.989492743873</v>
      </c>
      <c r="F79" s="54">
        <f>IF(A79&gt;'Immobilien-Kalkulation'!$B$70,0,IF(A79&lt;='Immobilien-Kalkulation'!$B$69,MAX(0,F78-($D$34*($D$21+$D$22)-F78*$D$21)),MAX(0,F78-IFERROR(INDEX($F$53:$F$82,'Immobilien-Kalkulation'!$B$69)/MAX('Immobilien-Kalkulation'!$B$70-'Immobilien-Kalkulation'!$B$69,1),0))))</f>
        <v>31959.195344458858</v>
      </c>
    </row>
    <row r="80" spans="1:6" x14ac:dyDescent="0.25">
      <c r="A80">
        <v>28</v>
      </c>
      <c r="B80" s="54">
        <f>IF(A80&gt;'Immobilien-Kalkulation'!$B$11,0,IFERROR(($B$32*(1-$B$25)*(1+$B$23)^(A80-1))-((('Immobilien-Kalkulation'!$B$93-'Immobilien-Kalkulation'!$B$87-'Immobilien-Kalkulation'!$B$92)*(1+$B$11)+$B$28+$B$27)*(1+'Immobilien-Kalkulation'!$B$16)^(A80-1))-(IF(A80&lt;='Immobilien-Kalkulation'!$B$69,$B$34*($B$21+$B$22),E79*$B$29+IFERROR(INDEX($E$53:$E$82,'Immobilien-Kalkulation'!$B$69)/MAX('Immobilien-Kalkulation'!$B$70-'Immobilien-Kalkulation'!$B$69,1),0)))-(($B$32*(1-$B$25)*(1+$B$23)^(A80-1))-((('Immobilien-Kalkulation'!$B$93-'Immobilien-Kalkulation'!$B$87-'Immobilien-Kalkulation'!$B$92)*(1+$B$11)+$B$28+$B$27)*(1+'Immobilien-Kalkulation'!$B$16)^(A80-1))-(IF(A80&lt;='Immobilien-Kalkulation'!$B$69,E79*$B$21,E79*$B$29))-(('Immobilien-Kalkulation'!$B$96*B$19+'Immobilien-Kalkulation'!$B$59)*'Immobilien-Kalkulation'!$B$98)-'Immobilien-Kalkulation'!$B$101-(IF(A80=1,'Immobilien-Kalkulation'!$B$58,0)))*'Immobilien-Kalkulation'!$B$100,0))</f>
        <v>0</v>
      </c>
      <c r="C80" s="54">
        <f>IF(A80&gt;'Immobilien-Kalkulation'!$B$11,0,IFERROR(INDEX('Immobilien-Kalkulation'!$B$112:$AE$112,1,A80),0))</f>
        <v>0</v>
      </c>
      <c r="D80" s="54">
        <f>IF(A80&gt;'Immobilien-Kalkulation'!$B$11,0,IFERROR(($D$32*(1-$D$25)*(1+$D$23)^(A80-1))-((('Immobilien-Kalkulation'!$B$93-'Immobilien-Kalkulation'!$B$87-'Immobilien-Kalkulation'!$B$92)*(1+$D$11)+$D$28+$D$27)*(1+'Immobilien-Kalkulation'!$B$16)^(A80-1))-(IF(A80&lt;='Immobilien-Kalkulation'!$B$69,$D$34*($D$21+$D$22),F79*$D$29+IFERROR(INDEX($F$53:$F$82,'Immobilien-Kalkulation'!$B$69)/MAX('Immobilien-Kalkulation'!$B$70-'Immobilien-Kalkulation'!$B$69,1),0)))-(($D$32*(1-$D$25)*(1+$D$23)^(A80-1))-((('Immobilien-Kalkulation'!$B$93-'Immobilien-Kalkulation'!$B$87-'Immobilien-Kalkulation'!$B$92)*(1+$D$11)+$D$28+$D$27)*(1+'Immobilien-Kalkulation'!$B$16)^(A80-1))-(IF(A80&lt;='Immobilien-Kalkulation'!$B$69,F79*$D$21,F79*$D$29))-(('Immobilien-Kalkulation'!$B$96*D$19+'Immobilien-Kalkulation'!$B$59)*'Immobilien-Kalkulation'!$B$98)-'Immobilien-Kalkulation'!$B$101-(IF(A80=1,'Immobilien-Kalkulation'!$B$58,0)))*'Immobilien-Kalkulation'!$B$100,0))</f>
        <v>0</v>
      </c>
      <c r="E80" s="54">
        <f>IF(A80&gt;'Immobilien-Kalkulation'!$B$70,0,IF(A80&lt;='Immobilien-Kalkulation'!$B$69,MAX(0,E79-($B$34*($B$21+$B$22)-E79*$B$21)),MAX(0,E79-IFERROR(INDEX($E$53:$E$82,'Immobilien-Kalkulation'!$B$69)/MAX('Immobilien-Kalkulation'!$B$70-'Immobilien-Kalkulation'!$B$69,1),0))))</f>
        <v>30321.326328495888</v>
      </c>
      <c r="F80" s="54">
        <f>IF(A80&gt;'Immobilien-Kalkulation'!$B$70,0,IF(A80&lt;='Immobilien-Kalkulation'!$B$69,MAX(0,F79-($D$34*($D$21+$D$22)-F79*$D$21)),MAX(0,F79-IFERROR(INDEX($F$53:$F$82,'Immobilien-Kalkulation'!$B$69)/MAX('Immobilien-Kalkulation'!$B$70-'Immobilien-Kalkulation'!$B$69,1),0))))</f>
        <v>21306.130229639239</v>
      </c>
    </row>
    <row r="81" spans="1:6" x14ac:dyDescent="0.25">
      <c r="A81">
        <v>29</v>
      </c>
      <c r="B81" s="54">
        <f>IF(A81&gt;'Immobilien-Kalkulation'!$B$11,0,IFERROR(($B$32*(1-$B$25)*(1+$B$23)^(A81-1))-((('Immobilien-Kalkulation'!$B$93-'Immobilien-Kalkulation'!$B$87-'Immobilien-Kalkulation'!$B$92)*(1+$B$11)+$B$28+$B$27)*(1+'Immobilien-Kalkulation'!$B$16)^(A81-1))-(IF(A81&lt;='Immobilien-Kalkulation'!$B$69,$B$34*($B$21+$B$22),E80*$B$29+IFERROR(INDEX($E$53:$E$82,'Immobilien-Kalkulation'!$B$69)/MAX('Immobilien-Kalkulation'!$B$70-'Immobilien-Kalkulation'!$B$69,1),0)))-(($B$32*(1-$B$25)*(1+$B$23)^(A81-1))-((('Immobilien-Kalkulation'!$B$93-'Immobilien-Kalkulation'!$B$87-'Immobilien-Kalkulation'!$B$92)*(1+$B$11)+$B$28+$B$27)*(1+'Immobilien-Kalkulation'!$B$16)^(A81-1))-(IF(A81&lt;='Immobilien-Kalkulation'!$B$69,E80*$B$21,E80*$B$29))-(('Immobilien-Kalkulation'!$B$96*B$19+'Immobilien-Kalkulation'!$B$59)*'Immobilien-Kalkulation'!$B$98)-'Immobilien-Kalkulation'!$B$101-(IF(A81=1,'Immobilien-Kalkulation'!$B$58,0)))*'Immobilien-Kalkulation'!$B$100,0))</f>
        <v>0</v>
      </c>
      <c r="C81" s="54">
        <f>IF(A81&gt;'Immobilien-Kalkulation'!$B$11,0,IFERROR(INDEX('Immobilien-Kalkulation'!$B$112:$AE$112,1,A81),0))</f>
        <v>0</v>
      </c>
      <c r="D81" s="54">
        <f>IF(A81&gt;'Immobilien-Kalkulation'!$B$11,0,IFERROR(($D$32*(1-$D$25)*(1+$D$23)^(A81-1))-((('Immobilien-Kalkulation'!$B$93-'Immobilien-Kalkulation'!$B$87-'Immobilien-Kalkulation'!$B$92)*(1+$D$11)+$D$28+$D$27)*(1+'Immobilien-Kalkulation'!$B$16)^(A81-1))-(IF(A81&lt;='Immobilien-Kalkulation'!$B$69,$D$34*($D$21+$D$22),F80*$D$29+IFERROR(INDEX($F$53:$F$82,'Immobilien-Kalkulation'!$B$69)/MAX('Immobilien-Kalkulation'!$B$70-'Immobilien-Kalkulation'!$B$69,1),0)))-(($D$32*(1-$D$25)*(1+$D$23)^(A81-1))-((('Immobilien-Kalkulation'!$B$93-'Immobilien-Kalkulation'!$B$87-'Immobilien-Kalkulation'!$B$92)*(1+$D$11)+$D$28+$D$27)*(1+'Immobilien-Kalkulation'!$B$16)^(A81-1))-(IF(A81&lt;='Immobilien-Kalkulation'!$B$69,F80*$D$21,F80*$D$29))-(('Immobilien-Kalkulation'!$B$96*D$19+'Immobilien-Kalkulation'!$B$59)*'Immobilien-Kalkulation'!$B$98)-'Immobilien-Kalkulation'!$B$101-(IF(A81=1,'Immobilien-Kalkulation'!$B$58,0)))*'Immobilien-Kalkulation'!$B$100,0))</f>
        <v>0</v>
      </c>
      <c r="E81" s="54">
        <f>IF(A81&gt;'Immobilien-Kalkulation'!$B$70,0,IF(A81&lt;='Immobilien-Kalkulation'!$B$69,MAX(0,E80-($B$34*($B$21+$B$22)-E80*$B$21)),MAX(0,E80-IFERROR(INDEX($E$53:$E$82,'Immobilien-Kalkulation'!$B$69)/MAX('Immobilien-Kalkulation'!$B$70-'Immobilien-Kalkulation'!$B$69,1),0))))</f>
        <v>15160.663164247906</v>
      </c>
      <c r="F81" s="54">
        <f>IF(A81&gt;'Immobilien-Kalkulation'!$B$70,0,IF(A81&lt;='Immobilien-Kalkulation'!$B$69,MAX(0,F80-($D$34*($D$21+$D$22)-F80*$D$21)),MAX(0,F80-IFERROR(INDEX($F$53:$F$82,'Immobilien-Kalkulation'!$B$69)/MAX('Immobilien-Kalkulation'!$B$70-'Immobilien-Kalkulation'!$B$69,1),0))))</f>
        <v>10653.065114819619</v>
      </c>
    </row>
    <row r="82" spans="1:6" x14ac:dyDescent="0.25">
      <c r="A82">
        <v>30</v>
      </c>
      <c r="B82" s="54">
        <f>IF(A82&gt;'Immobilien-Kalkulation'!$B$11,0,IFERROR(($B$32*(1-$B$25)*(1+$B$23)^(A82-1))-((('Immobilien-Kalkulation'!$B$93-'Immobilien-Kalkulation'!$B$87-'Immobilien-Kalkulation'!$B$92)*(1+$B$11)+$B$28+$B$27)*(1+'Immobilien-Kalkulation'!$B$16)^(A82-1))-(IF(A82&lt;='Immobilien-Kalkulation'!$B$69,$B$34*($B$21+$B$22),E81*$B$29+IFERROR(INDEX($E$53:$E$82,'Immobilien-Kalkulation'!$B$69)/MAX('Immobilien-Kalkulation'!$B$70-'Immobilien-Kalkulation'!$B$69,1),0)))-(($B$32*(1-$B$25)*(1+$B$23)^(A82-1))-((('Immobilien-Kalkulation'!$B$93-'Immobilien-Kalkulation'!$B$87-'Immobilien-Kalkulation'!$B$92)*(1+$B$11)+$B$28+$B$27)*(1+'Immobilien-Kalkulation'!$B$16)^(A82-1))-(IF(A82&lt;='Immobilien-Kalkulation'!$B$69,E81*$B$21,E81*$B$29))-(('Immobilien-Kalkulation'!$B$96*B$19+'Immobilien-Kalkulation'!$B$59)*'Immobilien-Kalkulation'!$B$98)-'Immobilien-Kalkulation'!$B$101-(IF(A82=1,'Immobilien-Kalkulation'!$B$58,0)))*'Immobilien-Kalkulation'!$B$100,0))</f>
        <v>0</v>
      </c>
      <c r="C82" s="54">
        <f>IF(A82&gt;'Immobilien-Kalkulation'!$B$11,0,IFERROR(INDEX('Immobilien-Kalkulation'!$B$112:$AE$112,1,A82),0))</f>
        <v>0</v>
      </c>
      <c r="D82" s="54">
        <f>IF(A82&gt;'Immobilien-Kalkulation'!$B$11,0,IFERROR(($D$32*(1-$D$25)*(1+$D$23)^(A82-1))-((('Immobilien-Kalkulation'!$B$93-'Immobilien-Kalkulation'!$B$87-'Immobilien-Kalkulation'!$B$92)*(1+$D$11)+$D$28+$D$27)*(1+'Immobilien-Kalkulation'!$B$16)^(A82-1))-(IF(A82&lt;='Immobilien-Kalkulation'!$B$69,$D$34*($D$21+$D$22),F81*$D$29+IFERROR(INDEX($F$53:$F$82,'Immobilien-Kalkulation'!$B$69)/MAX('Immobilien-Kalkulation'!$B$70-'Immobilien-Kalkulation'!$B$69,1),0)))-(($D$32*(1-$D$25)*(1+$D$23)^(A82-1))-((('Immobilien-Kalkulation'!$B$93-'Immobilien-Kalkulation'!$B$87-'Immobilien-Kalkulation'!$B$92)*(1+$D$11)+$D$28+$D$27)*(1+'Immobilien-Kalkulation'!$B$16)^(A82-1))-(IF(A82&lt;='Immobilien-Kalkulation'!$B$69,F81*$D$21,F81*$D$29))-(('Immobilien-Kalkulation'!$B$96*D$19+'Immobilien-Kalkulation'!$B$59)*'Immobilien-Kalkulation'!$B$98)-'Immobilien-Kalkulation'!$B$101-(IF(A82=1,'Immobilien-Kalkulation'!$B$58,0)))*'Immobilien-Kalkulation'!$B$100,0))</f>
        <v>0</v>
      </c>
      <c r="E82" s="54">
        <f>IF(A82&gt;'Immobilien-Kalkulation'!$B$70,0,IF(A82&lt;='Immobilien-Kalkulation'!$B$69,MAX(0,E81-($B$34*($B$21+$B$22)-E81*$B$21)),MAX(0,E81-IFERROR(INDEX($E$53:$E$82,'Immobilien-Kalkulation'!$B$69)/MAX('Immobilien-Kalkulation'!$B$70-'Immobilien-Kalkulation'!$B$69,1),0))))</f>
        <v>0</v>
      </c>
      <c r="F82" s="54">
        <f>IF(A82&gt;'Immobilien-Kalkulation'!$B$70,0,IF(A82&lt;='Immobilien-Kalkulation'!$B$69,MAX(0,F81-($D$34*($D$21+$D$22)-F81*$D$21)),MAX(0,F81-IFERROR(INDEX($F$53:$F$82,'Immobilien-Kalkulation'!$B$69)/MAX('Immobilien-Kalkulation'!$B$70-'Immobilien-Kalkulation'!$B$69,1),0))))</f>
        <v>0</v>
      </c>
    </row>
    <row r="84" spans="1:6" x14ac:dyDescent="0.25">
      <c r="A84" s="44" t="s">
        <v>193</v>
      </c>
      <c r="B84" s="54">
        <f>SUMIF($A$53:$A$82,"&lt;="&amp;'Immobilien-Kalkulation'!$B$11,$B$53:$B$82)</f>
        <v>-74903.351171132745</v>
      </c>
      <c r="C84" s="54">
        <f>SUMIF($A$53:$A$82,"&lt;="&amp;'Immobilien-Kalkulation'!$B$11,$C$53:$C$82)</f>
        <v>-40355.223374259229</v>
      </c>
      <c r="D84" s="54">
        <f>SUMIF($A$53:$A$82,"&lt;="&amp;'Immobilien-Kalkulation'!$B$11,$D$53:$D$82)</f>
        <v>-16202.323779583976</v>
      </c>
    </row>
    <row r="85" spans="1:6" x14ac:dyDescent="0.25">
      <c r="A85" s="44" t="s">
        <v>194</v>
      </c>
      <c r="B85" s="54">
        <f>IFERROR(INDEX($E$53:$E$82,'Immobilien-Kalkulation'!$B$11),0)</f>
        <v>303213.26328495966</v>
      </c>
      <c r="C85" s="54">
        <f>IFERROR(INDEX('Immobilien-Kalkulation'!$B$113:$AE$113,1,'Immobilien-Kalkulation'!$B$11),0)</f>
        <v>246562.01314562609</v>
      </c>
      <c r="D85" s="54">
        <f>IFERROR(INDEX($F$53:$F$82,'Immobilien-Kalkulation'!$B$11),0)</f>
        <v>213061.30229639239</v>
      </c>
    </row>
  </sheetData>
  <mergeCells count="6">
    <mergeCell ref="A1:D1"/>
    <mergeCell ref="A17:D17"/>
    <mergeCell ref="A4:D4"/>
    <mergeCell ref="A30:D30"/>
    <mergeCell ref="A41:D41"/>
    <mergeCell ref="A2:D2"/>
  </mergeCells>
  <conditionalFormatting sqref="B43:D43">
    <cfRule type="cellIs" dxfId="9" priority="1" operator="lessThan">
      <formula>0</formula>
    </cfRule>
  </conditionalFormatting>
  <conditionalFormatting sqref="B46:D46">
    <cfRule type="cellIs" dxfId="8" priority="4" operator="lessThan">
      <formula>0</formula>
    </cfRule>
  </conditionalFormatting>
  <conditionalFormatting sqref="B49:D49">
    <cfRule type="cellIs" dxfId="7" priority="7" operator="lessThan">
      <formula>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4C7DC"/>
  </sheetPr>
  <dimension ref="A1:H12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6" sqref="F6"/>
    </sheetView>
  </sheetViews>
  <sheetFormatPr baseColWidth="10" defaultColWidth="8.7109375" defaultRowHeight="15" x14ac:dyDescent="0.25"/>
  <cols>
    <col min="1" max="1" width="36" style="97" customWidth="1"/>
    <col min="2" max="8" width="13.42578125" style="97" customWidth="1"/>
  </cols>
  <sheetData>
    <row r="1" spans="1:8" ht="30" customHeight="1" x14ac:dyDescent="0.25">
      <c r="A1" s="108" t="s">
        <v>195</v>
      </c>
      <c r="B1" s="106"/>
      <c r="C1" s="106"/>
      <c r="D1" s="106"/>
      <c r="E1" s="106"/>
      <c r="F1" s="106"/>
      <c r="G1" s="106"/>
      <c r="H1" s="106"/>
    </row>
    <row r="2" spans="1:8" ht="15" customHeight="1" x14ac:dyDescent="0.25">
      <c r="A2" s="107" t="s">
        <v>196</v>
      </c>
      <c r="B2" s="106"/>
      <c r="C2" s="106"/>
      <c r="D2" s="106"/>
      <c r="E2" s="106"/>
      <c r="F2" s="106"/>
      <c r="G2" s="106"/>
      <c r="H2" s="106"/>
    </row>
    <row r="3" spans="1:8" ht="15" customHeight="1" x14ac:dyDescent="0.25"/>
    <row r="4" spans="1:8" ht="15" customHeight="1" x14ac:dyDescent="0.25">
      <c r="A4" s="105" t="s">
        <v>197</v>
      </c>
      <c r="B4" s="106"/>
      <c r="C4" s="106"/>
      <c r="D4" s="106"/>
      <c r="E4" s="106"/>
      <c r="F4" s="106"/>
      <c r="G4" s="106"/>
      <c r="H4" s="106"/>
    </row>
    <row r="5" spans="1:8" ht="15" customHeight="1" x14ac:dyDescent="0.25">
      <c r="A5" s="5" t="s">
        <v>198</v>
      </c>
      <c r="B5" s="83">
        <v>-0.03</v>
      </c>
      <c r="C5" s="83">
        <v>-0.02</v>
      </c>
      <c r="D5" s="83">
        <v>-0.01</v>
      </c>
      <c r="E5" s="84">
        <v>0</v>
      </c>
      <c r="F5" s="83">
        <v>0.01</v>
      </c>
      <c r="G5" s="83">
        <v>0.02</v>
      </c>
      <c r="H5" s="83">
        <v>0.03</v>
      </c>
    </row>
    <row r="6" spans="1:8" ht="15" customHeight="1" x14ac:dyDescent="0.25">
      <c r="A6" s="4" t="s">
        <v>199</v>
      </c>
      <c r="B6" s="85">
        <f>'Immobilien-Kalkulation'!B65+B5</f>
        <v>5.0000000000000044E-3</v>
      </c>
      <c r="C6" s="85">
        <f>'Immobilien-Kalkulation'!B65+C5</f>
        <v>1.5000000000000003E-2</v>
      </c>
      <c r="D6" s="85">
        <f>'Immobilien-Kalkulation'!B65+D5</f>
        <v>2.5000000000000001E-2</v>
      </c>
      <c r="E6" s="84">
        <f>'Immobilien-Kalkulation'!B65+E5</f>
        <v>3.5000000000000003E-2</v>
      </c>
      <c r="F6" s="85">
        <f>'Immobilien-Kalkulation'!B65+F5</f>
        <v>4.5000000000000005E-2</v>
      </c>
      <c r="G6" s="85">
        <f>'Immobilien-Kalkulation'!B65+G5</f>
        <v>5.5000000000000007E-2</v>
      </c>
      <c r="H6" s="85">
        <f>'Immobilien-Kalkulation'!B65+H5</f>
        <v>6.5000000000000002E-2</v>
      </c>
    </row>
    <row r="7" spans="1:8" ht="15" customHeight="1" x14ac:dyDescent="0.25">
      <c r="A7" s="5" t="s">
        <v>27</v>
      </c>
      <c r="B7" s="86">
        <f>IFERROR(PMT(B6/12,'Immobilien-Kalkulation'!$B$70*12,-'Immobilien-Kalkulation'!$B$64),0)</f>
        <v>952.75402631143288</v>
      </c>
      <c r="C7" s="86">
        <f>IFERROR(PMT(C6/12,'Immobilien-Kalkulation'!$B$70*12,-'Immobilien-Kalkulation'!$B$64),0)</f>
        <v>1099.01805419179</v>
      </c>
      <c r="D7" s="86">
        <f>IFERROR(PMT(D6/12,'Immobilien-Kalkulation'!$B$70*12,-'Immobilien-Kalkulation'!$B$64),0)</f>
        <v>1258.2427462401265</v>
      </c>
      <c r="E7" s="87">
        <f>IFERROR(PMT(E6/12,'Immobilien-Kalkulation'!$B$70*12,-'Immobilien-Kalkulation'!$B$64),0)</f>
        <v>1429.9603560928113</v>
      </c>
      <c r="F7" s="86">
        <f>IFERROR(PMT(F6/12,'Immobilien-Kalkulation'!$B$70*12,-'Immobilien-Kalkulation'!$B$64),0)</f>
        <v>1613.5140348750258</v>
      </c>
      <c r="G7" s="86">
        <f>IFERROR(PMT(G6/12,'Immobilien-Kalkulation'!$B$70*12,-'Immobilien-Kalkulation'!$B$64),0)</f>
        <v>1808.0956853394637</v>
      </c>
      <c r="H7" s="86">
        <f>IFERROR(PMT(H6/12,'Immobilien-Kalkulation'!$B$70*12,-'Immobilien-Kalkulation'!$B$64),0)</f>
        <v>2012.7890174121685</v>
      </c>
    </row>
    <row r="8" spans="1:8" ht="15" customHeight="1" x14ac:dyDescent="0.25">
      <c r="A8" s="5" t="s">
        <v>200</v>
      </c>
      <c r="B8" s="71">
        <f>IFERROR(-CUMIPMT(B6/12,'Immobilien-Kalkulation'!$B$70*12,'Immobilien-Kalkulation'!$B$64,1,12,0),'Immobilien-Kalkulation'!$B$64*B6)</f>
        <v>1569.6417617857969</v>
      </c>
      <c r="C8" s="71">
        <f>IFERROR(-CUMIPMT(C6/12,'Immobilien-Kalkulation'!$B$70*12,'Immobilien-Kalkulation'!$B$64,1,12,0),'Immobilien-Kalkulation'!$B$64*C6)</f>
        <v>4718.6040164889546</v>
      </c>
      <c r="D8" s="71">
        <f>IFERROR(-CUMIPMT(D6/12,'Immobilien-Kalkulation'!$B$70*12,'Immobilien-Kalkulation'!$B$64,1,12,0),'Immobilien-Kalkulation'!$B$64*D6)</f>
        <v>7878.7672087671963</v>
      </c>
      <c r="E8" s="88">
        <f>IFERROR(-CUMIPMT(E6/12,'Immobilien-Kalkulation'!$B$70*12,'Immobilien-Kalkulation'!$B$64,1,12,0),'Immobilien-Kalkulation'!$B$64*E6)</f>
        <v>11048.157106934032</v>
      </c>
      <c r="F8" s="71">
        <f>IFERROR(-CUMIPMT(F6/12,'Immobilien-Kalkulation'!$B$70*12,'Immobilien-Kalkulation'!$B$64,1,12,0),'Immobilien-Kalkulation'!$B$64*F6)</f>
        <v>14224.928680165569</v>
      </c>
      <c r="G8" s="71">
        <f>IFERROR(-CUMIPMT(G6/12,'Immobilien-Kalkulation'!$B$70*12,'Immobilien-Kalkulation'!$B$64,1,12,0),'Immobilien-Kalkulation'!$B$64*G6)</f>
        <v>17407.409182948864</v>
      </c>
      <c r="H8" s="71">
        <f>IFERROR(-CUMIPMT(H6/12,'Immobilien-Kalkulation'!$B$70*12,'Immobilien-Kalkulation'!$B$64,1,12,0),'Immobilien-Kalkulation'!$B$64*H6)</f>
        <v>20594.127339316397</v>
      </c>
    </row>
    <row r="9" spans="1:8" ht="15" customHeight="1" x14ac:dyDescent="0.25">
      <c r="A9" s="5" t="s">
        <v>201</v>
      </c>
      <c r="B9" s="71">
        <f>'Immobilien-Kalkulation'!$B$82-'Immobilien-Kalkulation'!$B$93-B7*12-('Immobilien-Kalkulation'!$B$82-'Immobilien-Kalkulation'!$B$93-B8-'Immobilien-Kalkulation'!$B$99-'Immobilien-Kalkulation'!$B$101-'Immobilien-Kalkulation'!$B$58)*'Immobilien-Kalkulation'!$B$100</f>
        <v>3356.2012242128403</v>
      </c>
      <c r="C9" s="71">
        <f>'Immobilien-Kalkulation'!$B$82-'Immobilien-Kalkulation'!$B$93-C7*12-('Immobilien-Kalkulation'!$B$82-'Immobilien-Kalkulation'!$B$93-C8-'Immobilien-Kalkulation'!$B$99-'Immobilien-Kalkulation'!$B$101-'Immobilien-Kalkulation'!$B$58)*'Immobilien-Kalkulation'!$B$100</f>
        <v>2923.5970366238789</v>
      </c>
      <c r="D9" s="71">
        <f>'Immobilien-Kalkulation'!$B$82-'Immobilien-Kalkulation'!$B$93-D7*12-('Immobilien-Kalkulation'!$B$82-'Immobilien-Kalkulation'!$B$93-D8-'Immobilien-Kalkulation'!$B$99-'Immobilien-Kalkulation'!$B$101-'Immobilien-Kalkulation'!$B$58)*'Immobilien-Kalkulation'!$B$100</f>
        <v>2340.1692728007038</v>
      </c>
      <c r="E9" s="88">
        <f>'Immobilien-Kalkulation'!$B$82-'Immobilien-Kalkulation'!$B$93-E7*12-('Immobilien-Kalkulation'!$B$82-'Immobilien-Kalkulation'!$B$93-E8-'Immobilien-Kalkulation'!$B$99-'Immobilien-Kalkulation'!$B$101-'Immobilien-Kalkulation'!$B$58)*'Immobilien-Kalkulation'!$B$100</f>
        <v>1610.7017117985597</v>
      </c>
      <c r="F9" s="71">
        <f>'Immobilien-Kalkulation'!$B$82-'Immobilien-Kalkulation'!$B$93-F7*12-('Immobilien-Kalkulation'!$B$82-'Immobilien-Kalkulation'!$B$93-F8-'Immobilien-Kalkulation'!$B$99-'Immobilien-Kalkulation'!$B$101-'Immobilien-Kalkulation'!$B$58)*'Immobilien-Kalkulation'!$B$100</f>
        <v>742.3016271692286</v>
      </c>
      <c r="G9" s="71">
        <f>'Immobilien-Kalkulation'!$B$82-'Immobilien-Kalkulation'!$B$93-G7*12-('Immobilien-Kalkulation'!$B$82-'Immobilien-Kalkulation'!$B$93-G8-'Immobilien-Kalkulation'!$B$99-'Immobilien-Kalkulation'!$B$101-'Immobilien-Kalkulation'!$B$58)*'Immobilien-Kalkulation'!$B$100</f>
        <v>-256.03636723504133</v>
      </c>
      <c r="H9" s="71">
        <f>'Immobilien-Kalkulation'!$B$82-'Immobilien-Kalkulation'!$B$93-H7*12-('Immobilien-Kalkulation'!$B$82-'Immobilien-Kalkulation'!$B$93-H8-'Immobilien-Kalkulation'!$B$99-'Immobilien-Kalkulation'!$B$101-'Immobilien-Kalkulation'!$B$58)*'Immobilien-Kalkulation'!$B$100</f>
        <v>-1373.9347264331354</v>
      </c>
    </row>
    <row r="10" spans="1:8" ht="15" customHeight="1" x14ac:dyDescent="0.25">
      <c r="A10" s="5" t="s">
        <v>202</v>
      </c>
      <c r="B10" s="71">
        <f>IFERROR(B7*12*'Immobilien-Kalkulation'!$B$70-'Immobilien-Kalkulation'!$B$64,0)</f>
        <v>24546.449472115841</v>
      </c>
      <c r="C10" s="71">
        <f>IFERROR(C7*12*'Immobilien-Kalkulation'!$B$70-'Immobilien-Kalkulation'!$B$64,0)</f>
        <v>77201.499509044457</v>
      </c>
      <c r="D10" s="71">
        <f>IFERROR(D7*12*'Immobilien-Kalkulation'!$B$70-'Immobilien-Kalkulation'!$B$64,0)</f>
        <v>134522.38864644553</v>
      </c>
      <c r="E10" s="88">
        <f>IFERROR(E7*12*'Immobilien-Kalkulation'!$B$70-'Immobilien-Kalkulation'!$B$64,0)</f>
        <v>196340.72819341201</v>
      </c>
      <c r="F10" s="71">
        <f>IFERROR(F7*12*'Immobilien-Kalkulation'!$B$70-'Immobilien-Kalkulation'!$B$64,0)</f>
        <v>262420.05255500926</v>
      </c>
      <c r="G10" s="71">
        <f>IFERROR(G7*12*'Immobilien-Kalkulation'!$B$70-'Immobilien-Kalkulation'!$B$64,0)</f>
        <v>332469.44672220689</v>
      </c>
      <c r="H10" s="71">
        <f>IFERROR(H7*12*'Immobilien-Kalkulation'!$B$70-'Immobilien-Kalkulation'!$B$64,0)</f>
        <v>406159.04626838071</v>
      </c>
    </row>
    <row r="11" spans="1:8" ht="15" customHeight="1" x14ac:dyDescent="0.25">
      <c r="A11" s="5" t="s">
        <v>184</v>
      </c>
      <c r="B11" s="86">
        <f>IFERROR(('Immobilien-Kalkulation'!$B$93+(B7*12)/(1-'Immobilien-Kalkulation'!$B$100)-'Immobilien-Kalkulation'!$B$100*(B8+'Immobilien-Kalkulation'!$B$99+'Immobilien-Kalkulation'!$B$101+'Immobilien-Kalkulation'!$B$58)/(1-'Immobilien-Kalkulation'!$B$100))/(1-'Immobilien-Kalkulation'!$B$80)/12,0)</f>
        <v>507.94610247876523</v>
      </c>
      <c r="C11" s="86">
        <f>IFERROR(('Immobilien-Kalkulation'!$B$93+(C7*12)/(1-'Immobilien-Kalkulation'!$B$100)-'Immobilien-Kalkulation'!$B$100*(C8+'Immobilien-Kalkulation'!$B$99+'Immobilien-Kalkulation'!$B$101+'Immobilien-Kalkulation'!$B$58)/(1-'Immobilien-Kalkulation'!$B$100))/(1-'Immobilien-Kalkulation'!$B$80)/12,0)</f>
        <v>571.37036174292166</v>
      </c>
      <c r="D11" s="86">
        <f>IFERROR(('Immobilien-Kalkulation'!$B$93+(D7*12)/(1-'Immobilien-Kalkulation'!$B$100)-'Immobilien-Kalkulation'!$B$100*(D8+'Immobilien-Kalkulation'!$B$99+'Immobilien-Kalkulation'!$B$101+'Immobilien-Kalkulation'!$B$58)/(1-'Immobilien-Kalkulation'!$B$100))/(1-'Immobilien-Kalkulation'!$B$80)/12,0)</f>
        <v>656.90692106487427</v>
      </c>
      <c r="E11" s="87">
        <f>IFERROR(('Immobilien-Kalkulation'!$B$93+(E7*12)/(1-'Immobilien-Kalkulation'!$B$100)-'Immobilien-Kalkulation'!$B$100*(E8+'Immobilien-Kalkulation'!$B$99+'Immobilien-Kalkulation'!$B$101+'Immobilien-Kalkulation'!$B$58)/(1-'Immobilien-Kalkulation'!$B$100))/(1-'Immobilien-Kalkulation'!$B$80)/12,0)</f>
        <v>763.85442883553822</v>
      </c>
      <c r="F11" s="86">
        <f>IFERROR(('Immobilien-Kalkulation'!$B$93+(F7*12)/(1-'Immobilien-Kalkulation'!$B$100)-'Immobilien-Kalkulation'!$B$100*(F8+'Immobilien-Kalkulation'!$B$99+'Immobilien-Kalkulation'!$B$101+'Immobilien-Kalkulation'!$B$58)/(1-'Immobilien-Kalkulation'!$B$100))/(1-'Immobilien-Kalkulation'!$B$80)/12,0)</f>
        <v>891.17088506198286</v>
      </c>
      <c r="G11" s="86">
        <f>IFERROR(('Immobilien-Kalkulation'!$B$93+(G7*12)/(1-'Immobilien-Kalkulation'!$B$100)-'Immobilien-Kalkulation'!$B$100*(G8+'Immobilien-Kalkulation'!$B$99+'Immobilien-Kalkulation'!$B$101+'Immobilien-Kalkulation'!$B$58)/(1-'Immobilien-Kalkulation'!$B$100))/(1-'Immobilien-Kalkulation'!$B$80)/12,0)</f>
        <v>1037.5375860947461</v>
      </c>
      <c r="H11" s="86">
        <f>IFERROR(('Immobilien-Kalkulation'!$B$93+(H7*12)/(1-'Immobilien-Kalkulation'!$B$100)-'Immobilien-Kalkulation'!$B$100*(H8+'Immobilien-Kalkulation'!$B$99+'Immobilien-Kalkulation'!$B$101+'Immobilien-Kalkulation'!$B$58)/(1-'Immobilien-Kalkulation'!$B$100))/(1-'Immobilien-Kalkulation'!$B$80)/12,0)</f>
        <v>1201.4330762422494</v>
      </c>
    </row>
    <row r="12" spans="1:8" ht="15" customHeight="1" x14ac:dyDescent="0.25"/>
  </sheetData>
  <mergeCells count="3">
    <mergeCell ref="A4:H4"/>
    <mergeCell ref="A2:H2"/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4C7DC"/>
  </sheetPr>
  <dimension ref="A1:B34"/>
  <sheetViews>
    <sheetView showGridLines="0" zoomScale="80" zoomScaleNormal="80" workbookViewId="0">
      <pane ySplit="3" topLeftCell="A4" activePane="bottomLeft" state="frozen"/>
      <selection pane="bottomLeft" activeCell="E28" sqref="E28"/>
    </sheetView>
  </sheetViews>
  <sheetFormatPr baseColWidth="10" defaultColWidth="8.7109375" defaultRowHeight="15" x14ac:dyDescent="0.25"/>
  <cols>
    <col min="1" max="1" width="42" style="97" customWidth="1"/>
    <col min="2" max="2" width="20" style="97" customWidth="1"/>
  </cols>
  <sheetData>
    <row r="1" spans="1:2" ht="30" customHeight="1" x14ac:dyDescent="0.25">
      <c r="A1" s="108" t="s">
        <v>203</v>
      </c>
      <c r="B1" s="106"/>
    </row>
    <row r="2" spans="1:2" ht="25.15" customHeight="1" x14ac:dyDescent="0.25">
      <c r="A2" s="107" t="s">
        <v>204</v>
      </c>
      <c r="B2" s="106"/>
    </row>
    <row r="3" spans="1:2" ht="15" customHeight="1" x14ac:dyDescent="0.25">
      <c r="A3" s="105" t="s">
        <v>205</v>
      </c>
      <c r="B3" s="106"/>
    </row>
    <row r="4" spans="1:2" ht="15" customHeight="1" x14ac:dyDescent="0.25">
      <c r="A4" s="5" t="s">
        <v>206</v>
      </c>
      <c r="B4" s="71">
        <f>'Immobilien-Kalkulation'!B13</f>
        <v>448029.59046872496</v>
      </c>
    </row>
    <row r="5" spans="1:2" ht="15" customHeight="1" x14ac:dyDescent="0.25">
      <c r="A5" s="5" t="s">
        <v>207</v>
      </c>
      <c r="B5" s="77">
        <v>0.05</v>
      </c>
    </row>
    <row r="6" spans="1:2" ht="15" customHeight="1" x14ac:dyDescent="0.25">
      <c r="A6" s="5" t="s">
        <v>33</v>
      </c>
      <c r="B6" s="15">
        <f>'Immobilien-Kalkulation'!B11</f>
        <v>10</v>
      </c>
    </row>
    <row r="7" spans="1:2" ht="15" customHeight="1" x14ac:dyDescent="0.25">
      <c r="A7" s="5" t="s">
        <v>208</v>
      </c>
      <c r="B7" s="16">
        <v>2025</v>
      </c>
    </row>
    <row r="8" spans="1:2" ht="15" customHeight="1" x14ac:dyDescent="0.25">
      <c r="A8" s="5" t="s">
        <v>115</v>
      </c>
      <c r="B8" s="89">
        <f>'Immobilien-Kalkulation'!B100</f>
        <v>0.42</v>
      </c>
    </row>
    <row r="9" spans="1:2" ht="15" customHeight="1" x14ac:dyDescent="0.25"/>
    <row r="10" spans="1:2" ht="15" customHeight="1" x14ac:dyDescent="0.25">
      <c r="A10" s="105" t="s">
        <v>209</v>
      </c>
      <c r="B10" s="106"/>
    </row>
    <row r="11" spans="1:2" ht="15" customHeight="1" x14ac:dyDescent="0.25">
      <c r="A11" s="5" t="s">
        <v>210</v>
      </c>
      <c r="B11" s="51">
        <f>'Immobilien-Kalkulation'!B50</f>
        <v>398445</v>
      </c>
    </row>
    <row r="12" spans="1:2" ht="15" customHeight="1" x14ac:dyDescent="0.25">
      <c r="A12" s="5" t="s">
        <v>211</v>
      </c>
      <c r="B12" s="71">
        <f>IFERROR(INDEX('Immobilien-Kalkulation'!$B$113:$AE$113,1,B6),"—")</f>
        <v>246562.01314562609</v>
      </c>
    </row>
    <row r="13" spans="1:2" ht="15" customHeight="1" x14ac:dyDescent="0.25">
      <c r="A13" s="5" t="s">
        <v>212</v>
      </c>
      <c r="B13" s="71">
        <f>B6*'Immobilien-Kalkulation'!B99</f>
        <v>56000</v>
      </c>
    </row>
    <row r="14" spans="1:2" ht="15" customHeight="1" x14ac:dyDescent="0.25">
      <c r="A14" s="5" t="s">
        <v>213</v>
      </c>
      <c r="B14" s="90">
        <f>B4-B11+B13-B17</f>
        <v>83183.110945288703</v>
      </c>
    </row>
    <row r="15" spans="1:2" ht="15" customHeight="1" x14ac:dyDescent="0.25">
      <c r="A15" s="5" t="s">
        <v>214</v>
      </c>
      <c r="B15" s="17" t="str">
        <f>IF(B6&lt;10,"Ja — steuerpflichtig","Nein — steuerfrei")</f>
        <v>Nein — steuerfrei</v>
      </c>
    </row>
    <row r="16" spans="1:2" ht="15" customHeight="1" x14ac:dyDescent="0.25">
      <c r="A16" s="5" t="s">
        <v>215</v>
      </c>
      <c r="B16" s="90">
        <f>IF(B6&lt;10,MAX(0,B14)*B8,0)</f>
        <v>0</v>
      </c>
    </row>
    <row r="17" spans="1:2" ht="15" customHeight="1" x14ac:dyDescent="0.25">
      <c r="A17" s="5" t="s">
        <v>216</v>
      </c>
      <c r="B17" s="71">
        <f>B4*B5</f>
        <v>22401.47952343625</v>
      </c>
    </row>
    <row r="18" spans="1:2" ht="15" customHeight="1" x14ac:dyDescent="0.25">
      <c r="A18" s="5" t="s">
        <v>15</v>
      </c>
      <c r="B18" s="88">
        <f>B4-B17-B16-B12</f>
        <v>179066.09779966265</v>
      </c>
    </row>
    <row r="19" spans="1:2" ht="15" customHeight="1" x14ac:dyDescent="0.25">
      <c r="A19" s="5" t="s">
        <v>217</v>
      </c>
      <c r="B19" s="71">
        <f>IFERROR(SUM('Immobilien-Kalkulation'!$B$112:INDEX('Immobilien-Kalkulation'!$B$112:$AE$112,1,B6)),"—")</f>
        <v>-40355.223374259229</v>
      </c>
    </row>
    <row r="20" spans="1:2" ht="15" customHeight="1" x14ac:dyDescent="0.25">
      <c r="A20" s="5" t="s">
        <v>218</v>
      </c>
      <c r="B20" s="71">
        <f>-'Immobilien-Kalkulation'!B63</f>
        <v>-80000</v>
      </c>
    </row>
    <row r="21" spans="1:2" ht="15" customHeight="1" x14ac:dyDescent="0.25">
      <c r="A21" s="24" t="s">
        <v>37</v>
      </c>
      <c r="B21" s="91">
        <f>B18+B19+B20</f>
        <v>58710.874425403425</v>
      </c>
    </row>
    <row r="22" spans="1:2" ht="15" customHeight="1" x14ac:dyDescent="0.25">
      <c r="A22" s="105" t="s">
        <v>219</v>
      </c>
      <c r="B22" s="106"/>
    </row>
    <row r="23" spans="1:2" ht="15" customHeight="1" x14ac:dyDescent="0.25">
      <c r="A23" s="5" t="s">
        <v>220</v>
      </c>
      <c r="B23" s="51">
        <f>'Immobilien-Kalkulation'!B27*(1+'Immobilien-Kalkulation'!B12)^10</f>
        <v>448029.59046872496</v>
      </c>
    </row>
    <row r="24" spans="1:2" ht="15" customHeight="1" x14ac:dyDescent="0.25">
      <c r="A24" s="5" t="s">
        <v>221</v>
      </c>
      <c r="B24" s="71">
        <f>IFERROR(INDEX('Immobilien-Kalkulation'!$B$113:$AE$113,1,10),"—")</f>
        <v>246562.01314562609</v>
      </c>
    </row>
    <row r="25" spans="1:2" ht="15" customHeight="1" x14ac:dyDescent="0.25">
      <c r="A25" s="5" t="s">
        <v>222</v>
      </c>
      <c r="B25" s="71">
        <f>B23-B11+10*'Immobilien-Kalkulation'!B99-B27</f>
        <v>83183.110945288703</v>
      </c>
    </row>
    <row r="26" spans="1:2" ht="15" customHeight="1" x14ac:dyDescent="0.25">
      <c r="A26" s="5" t="s">
        <v>223</v>
      </c>
      <c r="B26" s="71">
        <f>0</f>
        <v>0</v>
      </c>
    </row>
    <row r="27" spans="1:2" ht="15" customHeight="1" x14ac:dyDescent="0.25">
      <c r="A27" s="5" t="s">
        <v>224</v>
      </c>
      <c r="B27" s="71">
        <f>B23*B5</f>
        <v>22401.47952343625</v>
      </c>
    </row>
    <row r="28" spans="1:2" ht="15" customHeight="1" x14ac:dyDescent="0.25">
      <c r="A28" s="5" t="s">
        <v>225</v>
      </c>
      <c r="B28" s="90">
        <f>B23-B27-B26-B24</f>
        <v>179066.09779966265</v>
      </c>
    </row>
    <row r="29" spans="1:2" ht="15" customHeight="1" x14ac:dyDescent="0.25">
      <c r="A29" s="5" t="s">
        <v>226</v>
      </c>
      <c r="B29" s="71">
        <f>IFERROR(SUM('Immobilien-Kalkulation'!$B$112:INDEX('Immobilien-Kalkulation'!$B$112:$AE$112,1,10)),"—")</f>
        <v>-40355.223374259229</v>
      </c>
    </row>
    <row r="30" spans="1:2" ht="15" customHeight="1" x14ac:dyDescent="0.25">
      <c r="A30" s="5" t="s">
        <v>218</v>
      </c>
      <c r="B30" s="71">
        <f>B20</f>
        <v>-80000</v>
      </c>
    </row>
    <row r="31" spans="1:2" ht="15" customHeight="1" x14ac:dyDescent="0.25">
      <c r="A31" s="5" t="s">
        <v>227</v>
      </c>
      <c r="B31" s="92">
        <f>B28+B29+B30</f>
        <v>58710.874425403425</v>
      </c>
    </row>
    <row r="32" spans="1:2" ht="15" customHeight="1" x14ac:dyDescent="0.25">
      <c r="A32" t="s">
        <v>228</v>
      </c>
      <c r="B32" s="92">
        <f>B31-B21</f>
        <v>0</v>
      </c>
    </row>
    <row r="33" spans="1:2" ht="25.5" customHeight="1" x14ac:dyDescent="0.25">
      <c r="A33" s="110" t="str">
        <f>IF(B16&gt;0,"⚠ Spekulationssteuer fällig (Haltedauer &lt; 10 Jahre)","✓ Steuerfreier Verkauf (Haltedauer ≥ 10 Jahre)")</f>
        <v>✓ Steuerfreier Verkauf (Haltedauer ≥ 10 Jahre)</v>
      </c>
      <c r="B33" s="111"/>
    </row>
    <row r="34" spans="1:2" ht="15" customHeight="1" x14ac:dyDescent="0.25"/>
  </sheetData>
  <mergeCells count="6">
    <mergeCell ref="A2:B2"/>
    <mergeCell ref="A33:B33"/>
    <mergeCell ref="A10:B10"/>
    <mergeCell ref="A1:B1"/>
    <mergeCell ref="A3:B3"/>
    <mergeCell ref="A22:B22"/>
  </mergeCells>
  <conditionalFormatting sqref="A33:B33">
    <cfRule type="expression" dxfId="6" priority="2">
      <formula>$B$16&gt;0</formula>
    </cfRule>
    <cfRule type="expression" dxfId="5" priority="3">
      <formula>$B$16&lt;=0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4C7DC"/>
  </sheetPr>
  <dimension ref="A1:G22"/>
  <sheetViews>
    <sheetView showGridLines="0" zoomScale="80" zoomScaleNormal="80" workbookViewId="0">
      <selection activeCell="F8" sqref="F8"/>
    </sheetView>
  </sheetViews>
  <sheetFormatPr baseColWidth="10" defaultColWidth="8.7109375" defaultRowHeight="15" x14ac:dyDescent="0.25"/>
  <cols>
    <col min="1" max="1" width="26" style="97" customWidth="1"/>
    <col min="2" max="7" width="16" style="97" customWidth="1"/>
  </cols>
  <sheetData>
    <row r="1" spans="1:7" ht="30" customHeight="1" x14ac:dyDescent="0.25">
      <c r="A1" s="108" t="s">
        <v>229</v>
      </c>
      <c r="B1" s="106"/>
      <c r="C1" s="106"/>
      <c r="D1" s="106"/>
      <c r="E1" s="106"/>
      <c r="F1" s="106"/>
      <c r="G1" s="106"/>
    </row>
    <row r="2" spans="1:7" ht="15" customHeight="1" x14ac:dyDescent="0.25">
      <c r="A2" s="107" t="s">
        <v>230</v>
      </c>
      <c r="B2" s="106"/>
      <c r="C2" s="106"/>
      <c r="D2" s="106"/>
      <c r="E2" s="106"/>
      <c r="F2" s="106"/>
      <c r="G2" s="106"/>
    </row>
    <row r="3" spans="1:7" ht="15" customHeight="1" x14ac:dyDescent="0.25"/>
    <row r="4" spans="1:7" ht="15" customHeight="1" x14ac:dyDescent="0.25">
      <c r="A4" s="105" t="s">
        <v>231</v>
      </c>
      <c r="B4" s="106"/>
    </row>
    <row r="5" spans="1:7" ht="15" customHeight="1" x14ac:dyDescent="0.25">
      <c r="A5" s="5" t="s">
        <v>232</v>
      </c>
      <c r="B5" s="93">
        <v>80000</v>
      </c>
    </row>
    <row r="6" spans="1:7" ht="15" customHeight="1" x14ac:dyDescent="0.25">
      <c r="A6" s="5" t="s">
        <v>233</v>
      </c>
      <c r="B6" s="89">
        <f>IFERROR(B5/'Immobilien-Kalkulation'!B50,"—")</f>
        <v>0.20078053432719697</v>
      </c>
    </row>
    <row r="7" spans="1:7" ht="15" customHeight="1" x14ac:dyDescent="0.25">
      <c r="A7" s="5" t="s">
        <v>14</v>
      </c>
      <c r="B7" s="71">
        <f>'Immobilien-Kalkulation'!B50-B5</f>
        <v>318445</v>
      </c>
    </row>
    <row r="8" spans="1:7" ht="15" customHeight="1" x14ac:dyDescent="0.25">
      <c r="A8" s="5" t="s">
        <v>234</v>
      </c>
      <c r="B8" s="86">
        <f>IFERROR(PMT('Immobilien-Kalkulation'!$B$65/12,'Immobilien-Kalkulation'!$B$70*12,-B7),0)</f>
        <v>1429.9603560928113</v>
      </c>
    </row>
    <row r="9" spans="1:7" ht="15" customHeight="1" x14ac:dyDescent="0.25">
      <c r="A9" s="5" t="s">
        <v>23</v>
      </c>
      <c r="B9" s="90">
        <f>'Immobilien-Kalkulation'!$B$82-'Immobilien-Kalkulation'!$B$93-B8*12-('Immobilien-Kalkulation'!$B$82-'Immobilien-Kalkulation'!$B$93-B7*'Immobilien-Kalkulation'!$B$65-'Immobilien-Kalkulation'!$B$99-'Immobilien-Kalkulation'!$B$101-'Immobilien-Kalkulation'!$B$58)*'Immobilien-Kalkulation'!$B$100</f>
        <v>1651.6172268862665</v>
      </c>
    </row>
    <row r="10" spans="1:7" ht="15" customHeight="1" x14ac:dyDescent="0.25">
      <c r="A10" t="s">
        <v>8</v>
      </c>
      <c r="B10" s="28">
        <f>IFERROR((1+('Immobilien-Kalkulation'!$B$13*(1-'Exit-Analyse'!$B$5)-IF('Immobilien-Kalkulation'!$B$11&lt;10,MAX(0,'Immobilien-Kalkulation'!$B$13-'Immobilien-Kalkulation'!$B$50+'Immobilien-Kalkulation'!$B$99*'Immobilien-Kalkulation'!$B$11-'Immobilien-Kalkulation'!$B$13*'Exit-Analyse'!$B$5)*'Immobilien-Kalkulation'!$B$100,0)-MAX(0,-FV('Immobilien-Kalkulation'!$B$65/12,'Immobilien-Kalkulation'!$B$11*12,-B8,B7))+IFERROR(IF('Immobilien-Kalkulation'!$B$112=0,B9*'Immobilien-Kalkulation'!$B$11,'Exit-Analyse'!$B$19*B9/'Immobilien-Kalkulation'!$B$112),0)-B5)/B5)^(1/'Immobilien-Kalkulation'!$B$11)-1,"—")</f>
        <v>5.5795735954603076E-2</v>
      </c>
    </row>
    <row r="11" spans="1:7" ht="15" customHeight="1" x14ac:dyDescent="0.25">
      <c r="A11" s="105" t="s">
        <v>235</v>
      </c>
      <c r="B11" s="106"/>
      <c r="C11" s="106"/>
      <c r="D11" s="106"/>
      <c r="E11" s="106"/>
      <c r="F11" s="106"/>
      <c r="G11" s="106"/>
    </row>
    <row r="12" spans="1:7" ht="27.75" customHeight="1" x14ac:dyDescent="0.25">
      <c r="A12" s="2" t="s">
        <v>236</v>
      </c>
      <c r="B12" s="3" t="s">
        <v>82</v>
      </c>
      <c r="C12" s="3" t="s">
        <v>14</v>
      </c>
      <c r="D12" s="3" t="s">
        <v>237</v>
      </c>
      <c r="E12" s="3" t="s">
        <v>23</v>
      </c>
      <c r="F12" s="3" t="s">
        <v>8</v>
      </c>
      <c r="G12" s="3" t="s">
        <v>7</v>
      </c>
    </row>
    <row r="13" spans="1:7" ht="15" customHeight="1" x14ac:dyDescent="0.25">
      <c r="A13" s="77">
        <v>0.1</v>
      </c>
      <c r="B13" s="71">
        <f>A13*'Immobilien-Kalkulation'!B50</f>
        <v>39844.5</v>
      </c>
      <c r="C13" s="71">
        <f>'Immobilien-Kalkulation'!B50-B13</f>
        <v>358600.5</v>
      </c>
      <c r="D13" s="86">
        <f>IFERROR(PMT('Immobilien-Kalkulation'!$B$65/12,'Immobilien-Kalkulation'!$B$70*12,-C13),0)</f>
        <v>1610.2764957058837</v>
      </c>
      <c r="E13" s="71">
        <f>'Immobilien-Kalkulation'!$B$82-'Immobilien-Kalkulation'!$B$93-D13*12-('Immobilien-Kalkulation'!$B$82-'Immobilien-Kalkulation'!$B$93-C13*'Immobilien-Kalkulation'!$B$65-'Immobilien-Kalkulation'!$B$99-'Immobilien-Kalkulation'!$B$101-'Immobilien-Kalkulation'!$B$58)*'Immobilien-Kalkulation'!$B$100</f>
        <v>78.109401529394745</v>
      </c>
      <c r="F13" s="31">
        <f>IFERROR((1+('Immobilien-Kalkulation'!$B$13*(1-'Exit-Analyse'!$B$5)-IF('Immobilien-Kalkulation'!$B$11&lt;10,MAX(0,'Immobilien-Kalkulation'!$B$13-'Immobilien-Kalkulation'!$B$50+'Immobilien-Kalkulation'!$B$99*'Immobilien-Kalkulation'!$B$11-'Immobilien-Kalkulation'!$B$13*'Exit-Analyse'!$B$5)*'Immobilien-Kalkulation'!$B$100,0)-MAX(0,-FV('Immobilien-Kalkulation'!$B$65/12,'Immobilien-Kalkulation'!$B$11*12,-D13,C13))+IFERROR(IF('Immobilien-Kalkulation'!$B$112=0,E13*'Immobilien-Kalkulation'!$B$11,'Exit-Analyse'!$B$19*E13/'Immobilien-Kalkulation'!$B$112),0)-B13)/B13)^(1/'Immobilien-Kalkulation'!$B$11)-1,"—")</f>
        <v>0.13868549920920059</v>
      </c>
      <c r="G13" s="86">
        <f>IFERROR(('Immobilien-Kalkulation'!$B$93+(D13*12)/(1-'Immobilien-Kalkulation'!$B$100)-'Immobilien-Kalkulation'!$B$100*(C13*'Immobilien-Kalkulation'!$B$65+'Immobilien-Kalkulation'!$B$99+'Immobilien-Kalkulation'!$B$101+'Immobilien-Kalkulation'!$B$58)/(1-'Immobilien-Kalkulation'!$B$100))/(1-'Immobilien-Kalkulation'!$B$80)/12,0)</f>
        <v>988.5483518752352</v>
      </c>
    </row>
    <row r="14" spans="1:7" ht="15" customHeight="1" x14ac:dyDescent="0.25">
      <c r="A14" s="77">
        <v>0.15</v>
      </c>
      <c r="B14" s="71">
        <f>A14*'Immobilien-Kalkulation'!B50</f>
        <v>59766.75</v>
      </c>
      <c r="C14" s="71">
        <f>'Immobilien-Kalkulation'!B50-B14</f>
        <v>338678.25</v>
      </c>
      <c r="D14" s="86">
        <f>IFERROR(PMT('Immobilien-Kalkulation'!$B$65/12,'Immobilien-Kalkulation'!$B$70*12,-C14),0)</f>
        <v>1520.81669038889</v>
      </c>
      <c r="E14" s="71">
        <f>'Immobilien-Kalkulation'!$B$82-'Immobilien-Kalkulation'!$B$93-D14*12-('Immobilien-Kalkulation'!$B$82-'Immobilien-Kalkulation'!$B$93-C14*'Immobilien-Kalkulation'!$B$65-'Immobilien-Kalkulation'!$B$99-'Immobilien-Kalkulation'!$B$101-'Immobilien-Kalkulation'!$B$58)*'Immobilien-Kalkulation'!$B$100</f>
        <v>858.7699903333214</v>
      </c>
      <c r="F14" s="31">
        <f>IFERROR((1+('Immobilien-Kalkulation'!$B$13*(1-'Exit-Analyse'!$B$5)-IF('Immobilien-Kalkulation'!$B$11&lt;10,MAX(0,'Immobilien-Kalkulation'!$B$13-'Immobilien-Kalkulation'!$B$50+'Immobilien-Kalkulation'!$B$99*'Immobilien-Kalkulation'!$B$11-'Immobilien-Kalkulation'!$B$13*'Exit-Analyse'!$B$5)*'Immobilien-Kalkulation'!$B$100,0)-MAX(0,-FV('Immobilien-Kalkulation'!$B$65/12,'Immobilien-Kalkulation'!$B$11*12,-D14,C14))+IFERROR(IF('Immobilien-Kalkulation'!$B$112=0,E14*'Immobilien-Kalkulation'!$B$11,'Exit-Analyse'!$B$19*E14/'Immobilien-Kalkulation'!$B$112),0)-B14)/B14)^(1/'Immobilien-Kalkulation'!$B$11)-1,"—")</f>
        <v>9.0303527212817869E-2</v>
      </c>
      <c r="G14" s="86">
        <f>IFERROR(('Immobilien-Kalkulation'!$B$93+(D14*12)/(1-'Immobilien-Kalkulation'!$B$100)-'Immobilien-Kalkulation'!$B$100*(C14*'Immobilien-Kalkulation'!$B$65+'Immobilien-Kalkulation'!$B$99+'Immobilien-Kalkulation'!$B$101+'Immobilien-Kalkulation'!$B$58)/(1-'Immobilien-Kalkulation'!$B$100))/(1-'Immobilien-Kalkulation'!$B$80)/12,0)</f>
        <v>874.09541544491537</v>
      </c>
    </row>
    <row r="15" spans="1:7" ht="15" customHeight="1" x14ac:dyDescent="0.25">
      <c r="A15" s="77">
        <v>0.2</v>
      </c>
      <c r="B15" s="71">
        <f>A15*'Immobilien-Kalkulation'!B50</f>
        <v>79689</v>
      </c>
      <c r="C15" s="71">
        <f>'Immobilien-Kalkulation'!B50-B15</f>
        <v>318756</v>
      </c>
      <c r="D15" s="86">
        <f>IFERROR(PMT('Immobilien-Kalkulation'!$B$65/12,'Immobilien-Kalkulation'!$B$70*12,-C15),0)</f>
        <v>1431.3568850718966</v>
      </c>
      <c r="E15" s="71">
        <f>'Immobilien-Kalkulation'!$B$82-'Immobilien-Kalkulation'!$B$93-D15*12-('Immobilien-Kalkulation'!$B$82-'Immobilien-Kalkulation'!$B$93-C15*'Immobilien-Kalkulation'!$B$65-'Immobilien-Kalkulation'!$B$99-'Immobilien-Kalkulation'!$B$101-'Immobilien-Kalkulation'!$B$58)*'Immobilien-Kalkulation'!$B$100</f>
        <v>1639.4305791372408</v>
      </c>
      <c r="F15" s="31">
        <f>IFERROR((1+('Immobilien-Kalkulation'!$B$13*(1-'Exit-Analyse'!$B$5)-IF('Immobilien-Kalkulation'!$B$11&lt;10,MAX(0,'Immobilien-Kalkulation'!$B$13-'Immobilien-Kalkulation'!$B$50+'Immobilien-Kalkulation'!$B$99*'Immobilien-Kalkulation'!$B$11-'Immobilien-Kalkulation'!$B$13*'Exit-Analyse'!$B$5)*'Immobilien-Kalkulation'!$B$100,0)-MAX(0,-FV('Immobilien-Kalkulation'!$B$65/12,'Immobilien-Kalkulation'!$B$11*12,-D15,C15))+IFERROR(IF('Immobilien-Kalkulation'!$B$112=0,E15*'Immobilien-Kalkulation'!$B$11,'Exit-Analyse'!$B$19*E15/'Immobilien-Kalkulation'!$B$112),0)-B15)/B15)^(1/'Immobilien-Kalkulation'!$B$11)-1,"—")</f>
        <v>5.6256549498922226E-2</v>
      </c>
      <c r="G15" s="86">
        <f>IFERROR(('Immobilien-Kalkulation'!$B$93+(D15*12)/(1-'Immobilien-Kalkulation'!$B$100)-'Immobilien-Kalkulation'!$B$100*(C15*'Immobilien-Kalkulation'!$B$65+'Immobilien-Kalkulation'!$B$99+'Immobilien-Kalkulation'!$B$101+'Immobilien-Kalkulation'!$B$58)/(1-'Immobilien-Kalkulation'!$B$100))/(1-'Immobilien-Kalkulation'!$B$80)/12,0)</f>
        <v>759.64247901459657</v>
      </c>
    </row>
    <row r="16" spans="1:7" ht="15" customHeight="1" x14ac:dyDescent="0.25">
      <c r="A16" s="77">
        <v>0.25</v>
      </c>
      <c r="B16" s="71">
        <f>A16*'Immobilien-Kalkulation'!B50</f>
        <v>99611.25</v>
      </c>
      <c r="C16" s="71">
        <f>'Immobilien-Kalkulation'!B50-B16</f>
        <v>298833.75</v>
      </c>
      <c r="D16" s="86">
        <f>IFERROR(PMT('Immobilien-Kalkulation'!$B$65/12,'Immobilien-Kalkulation'!$B$70*12,-C16),0)</f>
        <v>1341.897079754903</v>
      </c>
      <c r="E16" s="71">
        <f>'Immobilien-Kalkulation'!$B$82-'Immobilien-Kalkulation'!$B$93-D16*12-('Immobilien-Kalkulation'!$B$82-'Immobilien-Kalkulation'!$B$93-C16*'Immobilien-Kalkulation'!$B$65-'Immobilien-Kalkulation'!$B$99-'Immobilien-Kalkulation'!$B$101-'Immobilien-Kalkulation'!$B$58)*'Immobilien-Kalkulation'!$B$100</f>
        <v>2420.0911679411638</v>
      </c>
      <c r="F16" s="31">
        <f>IFERROR((1+('Immobilien-Kalkulation'!$B$13*(1-'Exit-Analyse'!$B$5)-IF('Immobilien-Kalkulation'!$B$11&lt;10,MAX(0,'Immobilien-Kalkulation'!$B$13-'Immobilien-Kalkulation'!$B$50+'Immobilien-Kalkulation'!$B$99*'Immobilien-Kalkulation'!$B$11-'Immobilien-Kalkulation'!$B$13*'Exit-Analyse'!$B$5)*'Immobilien-Kalkulation'!$B$100,0)-MAX(0,-FV('Immobilien-Kalkulation'!$B$65/12,'Immobilien-Kalkulation'!$B$11*12,-D16,C16))+IFERROR(IF('Immobilien-Kalkulation'!$B$112=0,E16*'Immobilien-Kalkulation'!$B$11,'Exit-Analyse'!$B$19*E16/'Immobilien-Kalkulation'!$B$112),0)-B16)/B16)^(1/'Immobilien-Kalkulation'!$B$11)-1,"—")</f>
        <v>2.9805378727204346E-2</v>
      </c>
      <c r="G16" s="86">
        <f>IFERROR(('Immobilien-Kalkulation'!$B$93+(D16*12)/(1-'Immobilien-Kalkulation'!$B$100)-'Immobilien-Kalkulation'!$B$100*(C16*'Immobilien-Kalkulation'!$B$65+'Immobilien-Kalkulation'!$B$99+'Immobilien-Kalkulation'!$B$101+'Immobilien-Kalkulation'!$B$58)/(1-'Immobilien-Kalkulation'!$B$100))/(1-'Immobilien-Kalkulation'!$B$80)/12,0)</f>
        <v>645.18954258427686</v>
      </c>
    </row>
    <row r="17" spans="1:7" ht="15" customHeight="1" x14ac:dyDescent="0.25">
      <c r="A17" s="77">
        <v>0.3</v>
      </c>
      <c r="B17" s="71">
        <f>A17*'Immobilien-Kalkulation'!B50</f>
        <v>119533.5</v>
      </c>
      <c r="C17" s="71">
        <f>'Immobilien-Kalkulation'!B50-B17</f>
        <v>278911.5</v>
      </c>
      <c r="D17" s="86">
        <f>IFERROR(PMT('Immobilien-Kalkulation'!$B$65/12,'Immobilien-Kalkulation'!$B$70*12,-C17),0)</f>
        <v>1252.4372744379095</v>
      </c>
      <c r="E17" s="71">
        <f>'Immobilien-Kalkulation'!$B$82-'Immobilien-Kalkulation'!$B$93-D17*12-('Immobilien-Kalkulation'!$B$82-'Immobilien-Kalkulation'!$B$93-C17*'Immobilien-Kalkulation'!$B$65-'Immobilien-Kalkulation'!$B$99-'Immobilien-Kalkulation'!$B$101-'Immobilien-Kalkulation'!$B$58)*'Immobilien-Kalkulation'!$B$100</f>
        <v>3200.7517567450868</v>
      </c>
      <c r="F17" s="31">
        <f>IFERROR((1+('Immobilien-Kalkulation'!$B$13*(1-'Exit-Analyse'!$B$5)-IF('Immobilien-Kalkulation'!$B$11&lt;10,MAX(0,'Immobilien-Kalkulation'!$B$13-'Immobilien-Kalkulation'!$B$50+'Immobilien-Kalkulation'!$B$99*'Immobilien-Kalkulation'!$B$11-'Immobilien-Kalkulation'!$B$13*'Exit-Analyse'!$B$5)*'Immobilien-Kalkulation'!$B$100,0)-MAX(0,-FV('Immobilien-Kalkulation'!$B$65/12,'Immobilien-Kalkulation'!$B$11*12,-D17,C17))+IFERROR(IF('Immobilien-Kalkulation'!$B$112=0,E17*'Immobilien-Kalkulation'!$B$11,'Exit-Analyse'!$B$19*E17/'Immobilien-Kalkulation'!$B$112),0)-B17)/B17)^(1/'Immobilien-Kalkulation'!$B$11)-1,"—")</f>
        <v>8.0270455663624674E-3</v>
      </c>
      <c r="G17" s="86">
        <f>IFERROR(('Immobilien-Kalkulation'!$B$93+(D17*12)/(1-'Immobilien-Kalkulation'!$B$100)-'Immobilien-Kalkulation'!$B$100*(C17*'Immobilien-Kalkulation'!$B$65+'Immobilien-Kalkulation'!$B$99+'Immobilien-Kalkulation'!$B$101+'Immobilien-Kalkulation'!$B$58)/(1-'Immobilien-Kalkulation'!$B$100))/(1-'Immobilien-Kalkulation'!$B$80)/12,0)</f>
        <v>530.7366061539575</v>
      </c>
    </row>
    <row r="18" spans="1:7" ht="15" customHeight="1" x14ac:dyDescent="0.25">
      <c r="A18" s="77">
        <v>0.35</v>
      </c>
      <c r="B18" s="71">
        <f>A18*'Immobilien-Kalkulation'!B50</f>
        <v>139455.75</v>
      </c>
      <c r="C18" s="71">
        <f>'Immobilien-Kalkulation'!B50-B18</f>
        <v>258989.25</v>
      </c>
      <c r="D18" s="86">
        <f>IFERROR(PMT('Immobilien-Kalkulation'!$B$65/12,'Immobilien-Kalkulation'!$B$70*12,-C18),0)</f>
        <v>1162.9774691209159</v>
      </c>
      <c r="E18" s="71">
        <f>'Immobilien-Kalkulation'!$B$82-'Immobilien-Kalkulation'!$B$93-D18*12-('Immobilien-Kalkulation'!$B$82-'Immobilien-Kalkulation'!$B$93-C18*'Immobilien-Kalkulation'!$B$65-'Immobilien-Kalkulation'!$B$99-'Immobilien-Kalkulation'!$B$101-'Immobilien-Kalkulation'!$B$58)*'Immobilien-Kalkulation'!$B$100</f>
        <v>3981.412345549008</v>
      </c>
      <c r="F18" s="31">
        <f>IFERROR((1+('Immobilien-Kalkulation'!$B$13*(1-'Exit-Analyse'!$B$5)-IF('Immobilien-Kalkulation'!$B$11&lt;10,MAX(0,'Immobilien-Kalkulation'!$B$13-'Immobilien-Kalkulation'!$B$50+'Immobilien-Kalkulation'!$B$99*'Immobilien-Kalkulation'!$B$11-'Immobilien-Kalkulation'!$B$13*'Exit-Analyse'!$B$5)*'Immobilien-Kalkulation'!$B$100,0)-MAX(0,-FV('Immobilien-Kalkulation'!$B$65/12,'Immobilien-Kalkulation'!$B$11*12,-D18,C18))+IFERROR(IF('Immobilien-Kalkulation'!$B$112=0,E18*'Immobilien-Kalkulation'!$B$11,'Exit-Analyse'!$B$19*E18/'Immobilien-Kalkulation'!$B$112),0)-B18)/B18)^(1/'Immobilien-Kalkulation'!$B$11)-1,"—")</f>
        <v>-1.0608054669473899E-2</v>
      </c>
      <c r="G18" s="86">
        <f>IFERROR(('Immobilien-Kalkulation'!$B$93+(D18*12)/(1-'Immobilien-Kalkulation'!$B$100)-'Immobilien-Kalkulation'!$B$100*(C18*'Immobilien-Kalkulation'!$B$65+'Immobilien-Kalkulation'!$B$99+'Immobilien-Kalkulation'!$B$101+'Immobilien-Kalkulation'!$B$58)/(1-'Immobilien-Kalkulation'!$B$100))/(1-'Immobilien-Kalkulation'!$B$80)/12,0)</f>
        <v>416.28366972363841</v>
      </c>
    </row>
    <row r="19" spans="1:7" ht="15" customHeight="1" x14ac:dyDescent="0.25">
      <c r="A19" s="77">
        <v>0.4</v>
      </c>
      <c r="B19" s="71">
        <f>A19*'Immobilien-Kalkulation'!B50</f>
        <v>159378</v>
      </c>
      <c r="C19" s="71">
        <f>'Immobilien-Kalkulation'!B50-B19</f>
        <v>239067</v>
      </c>
      <c r="D19" s="86">
        <f>IFERROR(PMT('Immobilien-Kalkulation'!$B$65/12,'Immobilien-Kalkulation'!$B$70*12,-C19),0)</f>
        <v>1073.5176638039225</v>
      </c>
      <c r="E19" s="71">
        <f>'Immobilien-Kalkulation'!$B$82-'Immobilien-Kalkulation'!$B$93-D19*12-('Immobilien-Kalkulation'!$B$82-'Immobilien-Kalkulation'!$B$93-C19*'Immobilien-Kalkulation'!$B$65-'Immobilien-Kalkulation'!$B$99-'Immobilien-Kalkulation'!$B$101-'Immobilien-Kalkulation'!$B$58)*'Immobilien-Kalkulation'!$B$100</f>
        <v>4762.072934352931</v>
      </c>
      <c r="F19" s="31">
        <f>IFERROR((1+('Immobilien-Kalkulation'!$B$13*(1-'Exit-Analyse'!$B$5)-IF('Immobilien-Kalkulation'!$B$11&lt;10,MAX(0,'Immobilien-Kalkulation'!$B$13-'Immobilien-Kalkulation'!$B$50+'Immobilien-Kalkulation'!$B$99*'Immobilien-Kalkulation'!$B$11-'Immobilien-Kalkulation'!$B$13*'Exit-Analyse'!$B$5)*'Immobilien-Kalkulation'!$B$100,0)-MAX(0,-FV('Immobilien-Kalkulation'!$B$65/12,'Immobilien-Kalkulation'!$B$11*12,-D19,C19))+IFERROR(IF('Immobilien-Kalkulation'!$B$112=0,E19*'Immobilien-Kalkulation'!$B$11,'Exit-Analyse'!$B$19*E19/'Immobilien-Kalkulation'!$B$112),0)-B19)/B19)^(1/'Immobilien-Kalkulation'!$B$11)-1,"—")</f>
        <v>-2.7000131809008066E-2</v>
      </c>
      <c r="G19" s="86">
        <f>IFERROR(('Immobilien-Kalkulation'!$B$93+(D19*12)/(1-'Immobilien-Kalkulation'!$B$100)-'Immobilien-Kalkulation'!$B$100*(C19*'Immobilien-Kalkulation'!$B$65+'Immobilien-Kalkulation'!$B$99+'Immobilien-Kalkulation'!$B$101+'Immobilien-Kalkulation'!$B$58)/(1-'Immobilien-Kalkulation'!$B$100))/(1-'Immobilien-Kalkulation'!$B$80)/12,0)</f>
        <v>301.83073329331899</v>
      </c>
    </row>
    <row r="20" spans="1:7" ht="15" customHeight="1" x14ac:dyDescent="0.25">
      <c r="A20" s="77">
        <v>0.5</v>
      </c>
      <c r="B20" s="71">
        <f>A20*'Immobilien-Kalkulation'!B50</f>
        <v>199222.5</v>
      </c>
      <c r="C20" s="71">
        <f>'Immobilien-Kalkulation'!B50-B20</f>
        <v>199222.5</v>
      </c>
      <c r="D20" s="86">
        <f>IFERROR(PMT('Immobilien-Kalkulation'!$B$65/12,'Immobilien-Kalkulation'!$B$70*12,-C20),0)</f>
        <v>894.59805316993538</v>
      </c>
      <c r="E20" s="71">
        <f>'Immobilien-Kalkulation'!$B$82-'Immobilien-Kalkulation'!$B$93-D20*12-('Immobilien-Kalkulation'!$B$82-'Immobilien-Kalkulation'!$B$93-C20*'Immobilien-Kalkulation'!$B$65-'Immobilien-Kalkulation'!$B$99-'Immobilien-Kalkulation'!$B$101-'Immobilien-Kalkulation'!$B$58)*'Immobilien-Kalkulation'!$B$100</f>
        <v>6323.3941119607734</v>
      </c>
      <c r="F20" s="31">
        <f>IFERROR((1+('Immobilien-Kalkulation'!$B$13*(1-'Exit-Analyse'!$B$5)-IF('Immobilien-Kalkulation'!$B$11&lt;10,MAX(0,'Immobilien-Kalkulation'!$B$13-'Immobilien-Kalkulation'!$B$50+'Immobilien-Kalkulation'!$B$99*'Immobilien-Kalkulation'!$B$11-'Immobilien-Kalkulation'!$B$13*'Exit-Analyse'!$B$5)*'Immobilien-Kalkulation'!$B$100,0)-MAX(0,-FV('Immobilien-Kalkulation'!$B$65/12,'Immobilien-Kalkulation'!$B$11*12,-D20,C20))+IFERROR(IF('Immobilien-Kalkulation'!$B$112=0,E20*'Immobilien-Kalkulation'!$B$11,'Exit-Analyse'!$B$19*E20/'Immobilien-Kalkulation'!$B$112),0)-B20)/B20)^(1/'Immobilien-Kalkulation'!$B$11)-1,"—")</f>
        <v>-5.5169859717299263E-2</v>
      </c>
      <c r="G20" s="86">
        <f>IFERROR(('Immobilien-Kalkulation'!$B$93+(D20*12)/(1-'Immobilien-Kalkulation'!$B$100)-'Immobilien-Kalkulation'!$B$100*(C20*'Immobilien-Kalkulation'!$B$65+'Immobilien-Kalkulation'!$B$99+'Immobilien-Kalkulation'!$B$101+'Immobilien-Kalkulation'!$B$58)/(1-'Immobilien-Kalkulation'!$B$100))/(1-'Immobilien-Kalkulation'!$B$80)/12,0)</f>
        <v>72.924860432680191</v>
      </c>
    </row>
    <row r="21" spans="1:7" ht="15" customHeight="1" x14ac:dyDescent="0.25"/>
    <row r="22" spans="1:7" ht="15" customHeight="1" x14ac:dyDescent="0.25"/>
  </sheetData>
  <mergeCells count="4">
    <mergeCell ref="A4:B4"/>
    <mergeCell ref="A2:G2"/>
    <mergeCell ref="A11:G11"/>
    <mergeCell ref="A1:G1"/>
  </mergeCells>
  <conditionalFormatting sqref="A13:G20">
    <cfRule type="expression" dxfId="4" priority="2">
      <formula>AND($E13&gt;0,COUNTIF($E$13:$E13,"&gt;0")=1)</formula>
    </cfRule>
  </conditionalFormatting>
  <conditionalFormatting sqref="B9:B10">
    <cfRule type="cellIs" dxfId="3" priority="3" operator="lessThan">
      <formula>0</formula>
    </cfRule>
  </conditionalFormatting>
  <conditionalFormatting sqref="E13:F20">
    <cfRule type="cellIs" dxfId="2" priority="4" operator="lessThan">
      <formula>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B4C7DC"/>
  </sheetPr>
  <dimension ref="A1:AE29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26" sqref="J26"/>
    </sheetView>
  </sheetViews>
  <sheetFormatPr baseColWidth="10" defaultColWidth="8.7109375" defaultRowHeight="15" x14ac:dyDescent="0.25"/>
  <cols>
    <col min="1" max="1" width="44.42578125" style="97" customWidth="1"/>
    <col min="2" max="31" width="11" style="97" customWidth="1"/>
  </cols>
  <sheetData>
    <row r="1" spans="1:31" ht="30" customHeight="1" x14ac:dyDescent="0.25">
      <c r="A1" s="108" t="s">
        <v>238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31" ht="15" customHeight="1" x14ac:dyDescent="0.25">
      <c r="A2" s="107" t="s">
        <v>239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31" ht="15" customHeight="1" x14ac:dyDescent="0.25">
      <c r="A3" s="5" t="s">
        <v>240</v>
      </c>
      <c r="B3" s="28">
        <f>'Immobilien-Kalkulation'!B16</f>
        <v>2.5000000000000001E-2</v>
      </c>
      <c r="E3" s="28"/>
    </row>
    <row r="4" spans="1:31" ht="15" customHeight="1" x14ac:dyDescent="0.25"/>
    <row r="5" spans="1:31" ht="15" customHeight="1" x14ac:dyDescent="0.25">
      <c r="A5" s="105" t="s">
        <v>241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</row>
    <row r="6" spans="1:31" ht="15" customHeight="1" x14ac:dyDescent="0.25">
      <c r="A6" s="2" t="s">
        <v>117</v>
      </c>
      <c r="B6" s="3" t="s">
        <v>118</v>
      </c>
      <c r="C6" s="3" t="s">
        <v>119</v>
      </c>
      <c r="D6" s="3" t="s">
        <v>120</v>
      </c>
      <c r="E6" s="3" t="s">
        <v>121</v>
      </c>
      <c r="F6" s="3" t="s">
        <v>122</v>
      </c>
      <c r="G6" s="3" t="s">
        <v>123</v>
      </c>
      <c r="H6" s="3" t="s">
        <v>124</v>
      </c>
      <c r="I6" s="3" t="s">
        <v>125</v>
      </c>
      <c r="J6" s="3" t="s">
        <v>126</v>
      </c>
      <c r="K6" s="3" t="s">
        <v>127</v>
      </c>
      <c r="L6" s="3" t="s">
        <v>128</v>
      </c>
      <c r="M6" s="3" t="s">
        <v>129</v>
      </c>
      <c r="N6" s="3" t="s">
        <v>130</v>
      </c>
      <c r="O6" s="3" t="s">
        <v>131</v>
      </c>
      <c r="P6" s="3" t="s">
        <v>132</v>
      </c>
      <c r="Q6" s="3" t="s">
        <v>133</v>
      </c>
      <c r="R6" s="3" t="s">
        <v>134</v>
      </c>
      <c r="S6" s="3" t="s">
        <v>135</v>
      </c>
      <c r="T6" s="3" t="s">
        <v>136</v>
      </c>
      <c r="U6" s="3" t="s">
        <v>137</v>
      </c>
      <c r="V6" s="3" t="s">
        <v>138</v>
      </c>
      <c r="W6" s="3" t="s">
        <v>139</v>
      </c>
      <c r="X6" s="3" t="s">
        <v>140</v>
      </c>
      <c r="Y6" s="3" t="s">
        <v>141</v>
      </c>
      <c r="Z6" s="3" t="s">
        <v>142</v>
      </c>
      <c r="AA6" s="3" t="s">
        <v>143</v>
      </c>
      <c r="AB6" s="3" t="s">
        <v>144</v>
      </c>
      <c r="AC6" s="3" t="s">
        <v>145</v>
      </c>
      <c r="AD6" s="3" t="s">
        <v>146</v>
      </c>
      <c r="AE6" s="3" t="s">
        <v>147</v>
      </c>
    </row>
    <row r="7" spans="1:31" ht="15" customHeight="1" x14ac:dyDescent="0.25">
      <c r="A7" s="5" t="s">
        <v>242</v>
      </c>
      <c r="B7" s="51">
        <f>'Immobilien-Kalkulation'!B112</f>
        <v>1610.7017117985579</v>
      </c>
      <c r="C7" s="51">
        <f>'Immobilien-Kalkulation'!C112</f>
        <v>-4679.8446257441683</v>
      </c>
      <c r="D7" s="51">
        <f>'Immobilien-Kalkulation'!D112</f>
        <v>-4671.8013835606043</v>
      </c>
      <c r="E7" s="51">
        <f>'Immobilien-Kalkulation'!E112</f>
        <v>-4665.2517745510304</v>
      </c>
      <c r="F7" s="51">
        <f>'Immobilien-Kalkulation'!F112</f>
        <v>-4660.282585100611</v>
      </c>
      <c r="G7" s="51">
        <f>'Immobilien-Kalkulation'!G112</f>
        <v>-4656.98431327659</v>
      </c>
      <c r="H7" s="51">
        <f>'Immobilien-Kalkulation'!H112</f>
        <v>-4655.4513121332693</v>
      </c>
      <c r="I7" s="51">
        <f>'Immobilien-Kalkulation'!I112</f>
        <v>-4655.7819383095803</v>
      </c>
      <c r="J7" s="51">
        <f>'Immobilien-Kalkulation'!J112</f>
        <v>-4658.0787061106021</v>
      </c>
      <c r="K7" s="51">
        <f>'Immobilien-Kalkulation'!K112</f>
        <v>-4662.448447271332</v>
      </c>
      <c r="L7" s="51">
        <f>'Immobilien-Kalkulation'!L112</f>
        <v>-4669.0024766080032</v>
      </c>
      <c r="M7" s="51">
        <f>'Immobilien-Kalkulation'!M112</f>
        <v>-4677.8567637696733</v>
      </c>
      <c r="N7" s="51">
        <f>'Immobilien-Kalkulation'!N112</f>
        <v>-4689.1321113104023</v>
      </c>
      <c r="O7" s="51">
        <f>'Immobilien-Kalkulation'!O112</f>
        <v>-4702.9543393101703</v>
      </c>
      <c r="P7" s="51">
        <f>'Immobilien-Kalkulation'!P112</f>
        <v>-4719.4544767809066</v>
      </c>
      <c r="Q7" s="51">
        <f>'Immobilien-Kalkulation'!Q112</f>
        <v>-4738.7689601024504</v>
      </c>
      <c r="R7" s="51">
        <f>'Immobilien-Kalkulation'!R112</f>
        <v>-4761.0398387419527</v>
      </c>
      <c r="S7" s="51">
        <f>'Immobilien-Kalkulation'!S112</f>
        <v>-4786.4149885193965</v>
      </c>
      <c r="T7" s="51">
        <f>'Immobilien-Kalkulation'!T112</f>
        <v>-4815.0483326911963</v>
      </c>
      <c r="U7" s="51">
        <f>'Immobilien-Kalkulation'!U112</f>
        <v>-4847.1000711336646</v>
      </c>
      <c r="V7" s="51">
        <f>'Immobilien-Kalkulation'!V112</f>
        <v>-4882.7369179180823</v>
      </c>
      <c r="W7" s="51">
        <f>'Immobilien-Kalkulation'!W112</f>
        <v>-4922.1323475796689</v>
      </c>
      <c r="X7" s="51">
        <f>'Immobilien-Kalkulation'!X112</f>
        <v>-4965.4668503934363</v>
      </c>
      <c r="Y7" s="51">
        <f>'Immobilien-Kalkulation'!Y112</f>
        <v>-5012.9281969811645</v>
      </c>
      <c r="Z7" s="51">
        <f>'Immobilien-Kalkulation'!Z112</f>
        <v>-5064.7117125852828</v>
      </c>
      <c r="AA7" s="51">
        <f>'Immobilien-Kalkulation'!AA112</f>
        <v>-5121.020561357429</v>
      </c>
      <c r="AB7" s="51">
        <f>'Immobilien-Kalkulation'!AB112</f>
        <v>-5182.0660410219298</v>
      </c>
      <c r="AC7" s="51">
        <f>'Immobilien-Kalkulation'!AC112</f>
        <v>-5248.0678882872417</v>
      </c>
      <c r="AD7" s="51">
        <f>'Immobilien-Kalkulation'!AD112</f>
        <v>-5319.2545953917452</v>
      </c>
      <c r="AE7" s="51">
        <f>'Immobilien-Kalkulation'!AE112</f>
        <v>-5395.8637381839944</v>
      </c>
    </row>
    <row r="8" spans="1:31" ht="15" customHeight="1" x14ac:dyDescent="0.25">
      <c r="A8" s="5" t="s">
        <v>243</v>
      </c>
      <c r="B8" s="94">
        <f t="shared" ref="B8:AE8" si="0">1/(1+$B$3)^(COLUMN()-1)</f>
        <v>0.97560975609756106</v>
      </c>
      <c r="C8" s="94">
        <f t="shared" si="0"/>
        <v>0.95181439619274244</v>
      </c>
      <c r="D8" s="94">
        <f t="shared" si="0"/>
        <v>0.92859941091974885</v>
      </c>
      <c r="E8" s="94">
        <f t="shared" si="0"/>
        <v>0.90595064479975507</v>
      </c>
      <c r="F8" s="94">
        <f t="shared" si="0"/>
        <v>0.88385428760951712</v>
      </c>
      <c r="G8" s="94">
        <f t="shared" si="0"/>
        <v>0.86229686596050459</v>
      </c>
      <c r="H8" s="94">
        <f t="shared" si="0"/>
        <v>0.84126523508341911</v>
      </c>
      <c r="I8" s="94">
        <f t="shared" si="0"/>
        <v>0.82074657081309188</v>
      </c>
      <c r="J8" s="94">
        <f t="shared" si="0"/>
        <v>0.8007283617688703</v>
      </c>
      <c r="K8" s="94">
        <f t="shared" si="0"/>
        <v>0.78119840172572708</v>
      </c>
      <c r="L8" s="94">
        <f t="shared" si="0"/>
        <v>0.7621447821714411</v>
      </c>
      <c r="M8" s="94">
        <f t="shared" si="0"/>
        <v>0.74355588504530845</v>
      </c>
      <c r="N8" s="94">
        <f t="shared" si="0"/>
        <v>0.72542037565395945</v>
      </c>
      <c r="O8" s="94">
        <f t="shared" si="0"/>
        <v>0.70772719575996057</v>
      </c>
      <c r="P8" s="94">
        <f t="shared" si="0"/>
        <v>0.69046555683898581</v>
      </c>
      <c r="Q8" s="94">
        <f t="shared" si="0"/>
        <v>0.67362493350144959</v>
      </c>
      <c r="R8" s="94">
        <f t="shared" si="0"/>
        <v>0.65719505707458503</v>
      </c>
      <c r="S8" s="94">
        <f t="shared" si="0"/>
        <v>0.64116590934105855</v>
      </c>
      <c r="T8" s="94">
        <f t="shared" si="0"/>
        <v>0.62552771643030103</v>
      </c>
      <c r="U8" s="94">
        <f t="shared" si="0"/>
        <v>0.61027094285883032</v>
      </c>
      <c r="V8" s="94">
        <f t="shared" si="0"/>
        <v>0.59538628571593211</v>
      </c>
      <c r="W8" s="94">
        <f t="shared" si="0"/>
        <v>0.5808646689911533</v>
      </c>
      <c r="X8" s="94">
        <f t="shared" si="0"/>
        <v>0.5666972380401496</v>
      </c>
      <c r="Y8" s="94">
        <f t="shared" si="0"/>
        <v>0.55287535418551181</v>
      </c>
      <c r="Z8" s="94">
        <f t="shared" si="0"/>
        <v>0.53939058944927987</v>
      </c>
      <c r="AA8" s="94">
        <f t="shared" si="0"/>
        <v>0.52623472141393168</v>
      </c>
      <c r="AB8" s="94">
        <f t="shared" si="0"/>
        <v>0.51339972820871382</v>
      </c>
      <c r="AC8" s="94">
        <f t="shared" si="0"/>
        <v>0.50087778361825741</v>
      </c>
      <c r="AD8" s="94">
        <f t="shared" si="0"/>
        <v>0.48866125231049495</v>
      </c>
      <c r="AE8" s="94">
        <f t="shared" si="0"/>
        <v>0.47674268518097085</v>
      </c>
    </row>
    <row r="9" spans="1:31" ht="15" customHeight="1" x14ac:dyDescent="0.25">
      <c r="A9" s="5" t="s">
        <v>244</v>
      </c>
      <c r="B9" s="71">
        <f t="shared" ref="B9:AE9" si="1">B7*B8</f>
        <v>1571.4163041937152</v>
      </c>
      <c r="C9" s="71">
        <f t="shared" si="1"/>
        <v>-4454.3434867285359</v>
      </c>
      <c r="D9" s="71">
        <f t="shared" si="1"/>
        <v>-4338.2320127084449</v>
      </c>
      <c r="E9" s="71">
        <f t="shared" si="1"/>
        <v>-4226.4878533077072</v>
      </c>
      <c r="F9" s="71">
        <f t="shared" si="1"/>
        <v>-4119.0107443131392</v>
      </c>
      <c r="G9" s="71">
        <f t="shared" si="1"/>
        <v>-4015.7029781656361</v>
      </c>
      <c r="H9" s="71">
        <f t="shared" si="1"/>
        <v>-3916.4693425212067</v>
      </c>
      <c r="I9" s="71">
        <f t="shared" si="1"/>
        <v>-3821.217060321118</v>
      </c>
      <c r="J9" s="71">
        <f t="shared" si="1"/>
        <v>-3729.8557313344013</v>
      </c>
      <c r="K9" s="71">
        <f t="shared" si="1"/>
        <v>-3642.2972751369625</v>
      </c>
      <c r="L9" s="71">
        <f t="shared" si="1"/>
        <v>-3558.4558754923255</v>
      </c>
      <c r="M9" s="71">
        <f t="shared" si="1"/>
        <v>-3478.2479260999417</v>
      </c>
      <c r="N9" s="71">
        <f t="shared" si="1"/>
        <v>-3401.591977677836</v>
      </c>
      <c r="O9" s="71">
        <f t="shared" si="1"/>
        <v>-3328.4086863471248</v>
      </c>
      <c r="P9" s="71">
        <f t="shared" si="1"/>
        <v>-3258.6207632867731</v>
      </c>
      <c r="Q9" s="71">
        <f t="shared" si="1"/>
        <v>-3192.1529256277468</v>
      </c>
      <c r="R9" s="71">
        <f t="shared" si="1"/>
        <v>-3128.9318485563908</v>
      </c>
      <c r="S9" s="71">
        <f t="shared" si="1"/>
        <v>-3068.8861185977112</v>
      </c>
      <c r="T9" s="71">
        <f t="shared" si="1"/>
        <v>-3011.9461880498525</v>
      </c>
      <c r="U9" s="71">
        <f t="shared" si="1"/>
        <v>-2958.0443305418448</v>
      </c>
      <c r="V9" s="71">
        <f t="shared" si="1"/>
        <v>-2907.1145976873049</v>
      </c>
      <c r="W9" s="71">
        <f t="shared" si="1"/>
        <v>-2859.0927768075126</v>
      </c>
      <c r="X9" s="71">
        <f t="shared" si="1"/>
        <v>-2813.9163496978808</v>
      </c>
      <c r="Y9" s="71">
        <f t="shared" si="1"/>
        <v>-2771.5244524125005</v>
      </c>
      <c r="Z9" s="71">
        <f t="shared" si="1"/>
        <v>-2731.8578360420474</v>
      </c>
      <c r="AA9" s="71">
        <f t="shared" si="1"/>
        <v>-2694.8588284609427</v>
      </c>
      <c r="AB9" s="71">
        <f t="shared" si="1"/>
        <v>-2660.4712970202645</v>
      </c>
      <c r="AC9" s="71">
        <f t="shared" si="1"/>
        <v>-2628.6406121634623</v>
      </c>
      <c r="AD9" s="71">
        <f t="shared" si="1"/>
        <v>-2599.3136119424853</v>
      </c>
      <c r="AE9" s="71">
        <f t="shared" si="1"/>
        <v>-2572.4385674124687</v>
      </c>
    </row>
    <row r="10" spans="1:31" ht="15" customHeight="1" x14ac:dyDescent="0.25">
      <c r="A10" s="5" t="s">
        <v>245</v>
      </c>
      <c r="B10" s="51">
        <f>'Immobilien-Kalkulation'!B105</f>
        <v>11760</v>
      </c>
      <c r="C10" s="51">
        <f>'Immobilien-Kalkulation'!C105</f>
        <v>11995.2</v>
      </c>
      <c r="D10" s="51">
        <f>'Immobilien-Kalkulation'!D105</f>
        <v>12235.104000000001</v>
      </c>
      <c r="E10" s="51">
        <f>'Immobilien-Kalkulation'!E105</f>
        <v>12479.806080000002</v>
      </c>
      <c r="F10" s="51">
        <f>'Immobilien-Kalkulation'!F105</f>
        <v>12729.402201600002</v>
      </c>
      <c r="G10" s="51">
        <f>'Immobilien-Kalkulation'!G105</f>
        <v>12983.990245632001</v>
      </c>
      <c r="H10" s="51">
        <f>'Immobilien-Kalkulation'!H105</f>
        <v>13243.670050544642</v>
      </c>
      <c r="I10" s="51">
        <f>'Immobilien-Kalkulation'!I105</f>
        <v>13508.543451555535</v>
      </c>
      <c r="J10" s="51">
        <f>'Immobilien-Kalkulation'!J105</f>
        <v>13778.714320586647</v>
      </c>
      <c r="K10" s="51">
        <f>'Immobilien-Kalkulation'!K105</f>
        <v>14054.28860699838</v>
      </c>
      <c r="L10" s="51">
        <f>'Immobilien-Kalkulation'!L105</f>
        <v>14335.374379138348</v>
      </c>
      <c r="M10" s="51">
        <f>'Immobilien-Kalkulation'!M105</f>
        <v>14622.081866721115</v>
      </c>
      <c r="N10" s="51">
        <f>'Immobilien-Kalkulation'!N105</f>
        <v>14914.523504055538</v>
      </c>
      <c r="O10" s="51">
        <f>'Immobilien-Kalkulation'!O105</f>
        <v>15212.813974136649</v>
      </c>
      <c r="P10" s="51">
        <f>'Immobilien-Kalkulation'!P105</f>
        <v>15517.070253619382</v>
      </c>
      <c r="Q10" s="51">
        <f>'Immobilien-Kalkulation'!Q105</f>
        <v>15827.41165869177</v>
      </c>
      <c r="R10" s="51">
        <f>'Immobilien-Kalkulation'!R105</f>
        <v>16143.959891865605</v>
      </c>
      <c r="S10" s="51">
        <f>'Immobilien-Kalkulation'!S105</f>
        <v>16466.839089702917</v>
      </c>
      <c r="T10" s="51">
        <f>'Immobilien-Kalkulation'!T105</f>
        <v>16796.175871496976</v>
      </c>
      <c r="U10" s="51">
        <f>'Immobilien-Kalkulation'!U105</f>
        <v>17132.099388926916</v>
      </c>
      <c r="V10" s="51">
        <f>'Immobilien-Kalkulation'!V105</f>
        <v>17474.741376705453</v>
      </c>
      <c r="W10" s="51">
        <f>'Immobilien-Kalkulation'!W105</f>
        <v>17824.236204239562</v>
      </c>
      <c r="X10" s="51">
        <f>'Immobilien-Kalkulation'!X105</f>
        <v>18180.720928324354</v>
      </c>
      <c r="Y10" s="51">
        <f>'Immobilien-Kalkulation'!Y105</f>
        <v>18544.335346890843</v>
      </c>
      <c r="Z10" s="51">
        <f>'Immobilien-Kalkulation'!Z105</f>
        <v>18915.22205382866</v>
      </c>
      <c r="AA10" s="51">
        <f>'Immobilien-Kalkulation'!AA105</f>
        <v>19293.526494905233</v>
      </c>
      <c r="AB10" s="51">
        <f>'Immobilien-Kalkulation'!AB105</f>
        <v>19679.397024803337</v>
      </c>
      <c r="AC10" s="51">
        <f>'Immobilien-Kalkulation'!AC105</f>
        <v>20072.984965299405</v>
      </c>
      <c r="AD10" s="51">
        <f>'Immobilien-Kalkulation'!AD105</f>
        <v>20474.444664605395</v>
      </c>
      <c r="AE10" s="51">
        <f>'Immobilien-Kalkulation'!AE105</f>
        <v>20883.933557897504</v>
      </c>
    </row>
    <row r="11" spans="1:31" ht="15" customHeight="1" x14ac:dyDescent="0.25">
      <c r="A11" s="5" t="s">
        <v>246</v>
      </c>
      <c r="B11" s="71">
        <f t="shared" ref="B11:AE11" si="2">B10*B8</f>
        <v>11473.170731707318</v>
      </c>
      <c r="C11" s="71">
        <f t="shared" si="2"/>
        <v>11417.204045211185</v>
      </c>
      <c r="D11" s="71">
        <f t="shared" si="2"/>
        <v>11361.510366941864</v>
      </c>
      <c r="E11" s="71">
        <f t="shared" si="2"/>
        <v>11306.088365151905</v>
      </c>
      <c r="F11" s="71">
        <f t="shared" si="2"/>
        <v>11250.936714590189</v>
      </c>
      <c r="G11" s="71">
        <f t="shared" si="2"/>
        <v>11196.054096470238</v>
      </c>
      <c r="H11" s="71">
        <f t="shared" si="2"/>
        <v>11141.439198438675</v>
      </c>
      <c r="I11" s="71">
        <f t="shared" si="2"/>
        <v>11087.090714543854</v>
      </c>
      <c r="J11" s="71">
        <f t="shared" si="2"/>
        <v>11033.007345204618</v>
      </c>
      <c r="K11" s="71">
        <f t="shared" si="2"/>
        <v>10979.187797179229</v>
      </c>
      <c r="L11" s="71">
        <f t="shared" si="2"/>
        <v>10925.630783534454</v>
      </c>
      <c r="M11" s="71">
        <f t="shared" si="2"/>
        <v>10872.335023614774</v>
      </c>
      <c r="N11" s="71">
        <f t="shared" si="2"/>
        <v>10819.299243011776</v>
      </c>
      <c r="O11" s="71">
        <f t="shared" si="2"/>
        <v>10766.522173533671</v>
      </c>
      <c r="P11" s="71">
        <f t="shared" si="2"/>
        <v>10714.002553174969</v>
      </c>
      <c r="Q11" s="71">
        <f t="shared" si="2"/>
        <v>10661.739126086311</v>
      </c>
      <c r="R11" s="71">
        <f t="shared" si="2"/>
        <v>10609.730642544428</v>
      </c>
      <c r="S11" s="71">
        <f t="shared" si="2"/>
        <v>10557.97585892226</v>
      </c>
      <c r="T11" s="71">
        <f t="shared" si="2"/>
        <v>10506.473537659225</v>
      </c>
      <c r="U11" s="71">
        <f t="shared" si="2"/>
        <v>10455.222447231619</v>
      </c>
      <c r="V11" s="71">
        <f t="shared" si="2"/>
        <v>10404.221362123173</v>
      </c>
      <c r="W11" s="71">
        <f t="shared" si="2"/>
        <v>10353.469062795744</v>
      </c>
      <c r="X11" s="71">
        <f t="shared" si="2"/>
        <v>10302.964335660155</v>
      </c>
      <c r="Y11" s="71">
        <f t="shared" si="2"/>
        <v>10252.705973047181</v>
      </c>
      <c r="Z11" s="71">
        <f t="shared" si="2"/>
        <v>10202.69277317866</v>
      </c>
      <c r="AA11" s="71">
        <f t="shared" si="2"/>
        <v>10152.923540138765</v>
      </c>
      <c r="AB11" s="71">
        <f t="shared" si="2"/>
        <v>10103.397083845404</v>
      </c>
      <c r="AC11" s="71">
        <f t="shared" si="2"/>
        <v>10054.112220021771</v>
      </c>
      <c r="AD11" s="71">
        <f t="shared" si="2"/>
        <v>10005.067770168003</v>
      </c>
      <c r="AE11" s="71">
        <f t="shared" si="2"/>
        <v>9956.2625615330417</v>
      </c>
    </row>
    <row r="12" spans="1:31" ht="15" customHeight="1" x14ac:dyDescent="0.25">
      <c r="A12" s="5" t="s">
        <v>247</v>
      </c>
      <c r="B12" s="51">
        <f>'Immobilien-Kalkulation'!B113</f>
        <v>312333.6328338203</v>
      </c>
      <c r="C12" s="51">
        <f>'Immobilien-Kalkulation'!C113</f>
        <v>306004.90295920556</v>
      </c>
      <c r="D12" s="51">
        <f>'Immobilien-Kalkulation'!D113</f>
        <v>299451.07944693259</v>
      </c>
      <c r="E12" s="51">
        <f>'Immobilien-Kalkulation'!E113</f>
        <v>292664.15640218242</v>
      </c>
      <c r="F12" s="51">
        <f>'Immobilien-Kalkulation'!F113</f>
        <v>285635.84318485169</v>
      </c>
      <c r="G12" s="51">
        <f>'Immobilien-Kalkulation'!G113</f>
        <v>278357.55428203067</v>
      </c>
      <c r="H12" s="51">
        <f>'Immobilien-Kalkulation'!H113</f>
        <v>270820.39882027579</v>
      </c>
      <c r="I12" s="51">
        <f>'Immobilien-Kalkulation'!I113</f>
        <v>263015.16970486619</v>
      </c>
      <c r="J12" s="51">
        <f>'Immobilien-Kalkulation'!J113</f>
        <v>254932.33237277635</v>
      </c>
      <c r="K12" s="51">
        <f>'Immobilien-Kalkulation'!K113</f>
        <v>246562.01314562609</v>
      </c>
      <c r="L12" s="51">
        <f>'Immobilien-Kalkulation'!L113</f>
        <v>237893.98716838105</v>
      </c>
      <c r="M12" s="51">
        <f>'Immobilien-Kalkulation'!M113</f>
        <v>228917.66591906891</v>
      </c>
      <c r="N12" s="51">
        <f>'Immobilien-Kalkulation'!N113</f>
        <v>219622.08427425459</v>
      </c>
      <c r="O12" s="51">
        <f>'Immobilien-Kalkulation'!O113</f>
        <v>209995.88711447373</v>
      </c>
      <c r="P12" s="51">
        <f>'Immobilien-Kalkulation'!P113</f>
        <v>200027.31545326227</v>
      </c>
      <c r="Q12" s="51">
        <f>'Immobilien-Kalkulation'!Q113</f>
        <v>189704.19207283793</v>
      </c>
      <c r="R12" s="51">
        <f>'Immobilien-Kalkulation'!R113</f>
        <v>179013.90664888662</v>
      </c>
      <c r="S12" s="51">
        <f>'Immobilien-Kalkulation'!S113</f>
        <v>167943.40034628264</v>
      </c>
      <c r="T12" s="51">
        <f>'Immobilien-Kalkulation'!T113</f>
        <v>156479.14986692596</v>
      </c>
      <c r="U12" s="51">
        <f>'Immobilien-Kalkulation'!U113</f>
        <v>144607.15093020906</v>
      </c>
      <c r="V12" s="51">
        <f>'Immobilien-Kalkulation'!V113</f>
        <v>132312.90116593539</v>
      </c>
      <c r="W12" s="51">
        <f>'Immobilien-Kalkulation'!W113</f>
        <v>119581.38239878978</v>
      </c>
      <c r="X12" s="51">
        <f>'Immobilien-Kalkulation'!X113</f>
        <v>106397.04230272236</v>
      </c>
      <c r="Y12" s="51">
        <f>'Immobilien-Kalkulation'!Y113</f>
        <v>92743.77540283445</v>
      </c>
      <c r="Z12" s="51">
        <f>'Immobilien-Kalkulation'!Z113</f>
        <v>78604.903401559452</v>
      </c>
      <c r="AA12" s="51">
        <f>'Immobilien-Kalkulation'!AA113</f>
        <v>63963.154805106002</v>
      </c>
      <c r="AB12" s="51">
        <f>'Immobilien-Kalkulation'!AB113</f>
        <v>48800.643825275765</v>
      </c>
      <c r="AC12" s="51">
        <f>'Immobilien-Kalkulation'!AC113</f>
        <v>33098.848530883144</v>
      </c>
      <c r="AD12" s="51">
        <f>'Immobilien-Kalkulation'!AD113</f>
        <v>16838.588222087601</v>
      </c>
      <c r="AE12" s="51">
        <f>'Immobilien-Kalkulation'!AE113</f>
        <v>0</v>
      </c>
    </row>
    <row r="13" spans="1:31" ht="15" customHeight="1" x14ac:dyDescent="0.25">
      <c r="A13" s="5" t="s">
        <v>248</v>
      </c>
      <c r="B13" s="71">
        <f t="shared" ref="B13:AE13" si="3">B12*B8</f>
        <v>304715.73935006862</v>
      </c>
      <c r="C13" s="71">
        <f t="shared" si="3"/>
        <v>291259.87194213498</v>
      </c>
      <c r="D13" s="71">
        <f t="shared" si="3"/>
        <v>278070.09597370453</v>
      </c>
      <c r="E13" s="71">
        <f t="shared" si="3"/>
        <v>265139.28120233351</v>
      </c>
      <c r="F13" s="71">
        <f t="shared" si="3"/>
        <v>252460.46469389083</v>
      </c>
      <c r="G13" s="71">
        <f t="shared" si="3"/>
        <v>240026.84667382608</v>
      </c>
      <c r="H13" s="71">
        <f t="shared" si="3"/>
        <v>227831.78647892462</v>
      </c>
      <c r="I13" s="71">
        <f t="shared" si="3"/>
        <v>215868.79860709232</v>
      </c>
      <c r="J13" s="71">
        <f t="shared" si="3"/>
        <v>204131.54886277035</v>
      </c>
      <c r="K13" s="71">
        <f t="shared" si="3"/>
        <v>192613.8505956408</v>
      </c>
      <c r="L13" s="71">
        <f t="shared" si="3"/>
        <v>181309.66103034138</v>
      </c>
      <c r="M13" s="71">
        <f t="shared" si="3"/>
        <v>170213.07768495951</v>
      </c>
      <c r="N13" s="71">
        <f t="shared" si="3"/>
        <v>159318.33487613531</v>
      </c>
      <c r="O13" s="71">
        <f t="shared" si="3"/>
        <v>148619.80030865173</v>
      </c>
      <c r="P13" s="71">
        <f t="shared" si="3"/>
        <v>138111.97174744421</v>
      </c>
      <c r="Q13" s="71">
        <f t="shared" si="3"/>
        <v>127789.47377001167</v>
      </c>
      <c r="R13" s="71">
        <f t="shared" si="3"/>
        <v>117647.05459725948</v>
      </c>
      <c r="S13" s="71">
        <f t="shared" si="3"/>
        <v>107679.58300085376</v>
      </c>
      <c r="T13" s="71">
        <f t="shared" si="3"/>
        <v>97882.04528521304</v>
      </c>
      <c r="U13" s="71">
        <f t="shared" si="3"/>
        <v>88249.542342307861</v>
      </c>
      <c r="V13" s="71">
        <f t="shared" si="3"/>
        <v>78777.286777485497</v>
      </c>
      <c r="W13" s="71">
        <f t="shared" si="3"/>
        <v>69460.600104577548</v>
      </c>
      <c r="X13" s="71">
        <f t="shared" si="3"/>
        <v>60294.910008593717</v>
      </c>
      <c r="Y13" s="71">
        <f t="shared" si="3"/>
        <v>51275.747674343656</v>
      </c>
      <c r="Z13" s="71">
        <f t="shared" si="3"/>
        <v>42398.745179370853</v>
      </c>
      <c r="AA13" s="71">
        <f t="shared" si="3"/>
        <v>33659.63294962114</v>
      </c>
      <c r="AB13" s="71">
        <f t="shared" si="3"/>
        <v>25054.237276306827</v>
      </c>
      <c r="AC13" s="71">
        <f t="shared" si="3"/>
        <v>16578.477892465165</v>
      </c>
      <c r="AD13" s="71">
        <f t="shared" si="3"/>
        <v>8228.3656077460782</v>
      </c>
      <c r="AE13" s="71">
        <f t="shared" si="3"/>
        <v>0</v>
      </c>
    </row>
    <row r="14" spans="1:31" ht="15" customHeight="1" x14ac:dyDescent="0.25">
      <c r="A14" s="4" t="s">
        <v>249</v>
      </c>
      <c r="B14" s="71">
        <f>B9</f>
        <v>1571.4163041937152</v>
      </c>
      <c r="C14" s="71">
        <f t="shared" ref="C14:AE14" si="4">B14+C9</f>
        <v>-2882.9271825348205</v>
      </c>
      <c r="D14" s="71">
        <f t="shared" si="4"/>
        <v>-7221.1591952432655</v>
      </c>
      <c r="E14" s="71">
        <f t="shared" si="4"/>
        <v>-11447.647048550973</v>
      </c>
      <c r="F14" s="71">
        <f t="shared" si="4"/>
        <v>-15566.657792864113</v>
      </c>
      <c r="G14" s="71">
        <f t="shared" si="4"/>
        <v>-19582.360771029747</v>
      </c>
      <c r="H14" s="71">
        <f t="shared" si="4"/>
        <v>-23498.830113550954</v>
      </c>
      <c r="I14" s="71">
        <f t="shared" si="4"/>
        <v>-27320.047173872073</v>
      </c>
      <c r="J14" s="71">
        <f t="shared" si="4"/>
        <v>-31049.902905206476</v>
      </c>
      <c r="K14" s="71">
        <f t="shared" si="4"/>
        <v>-34692.20018034344</v>
      </c>
      <c r="L14" s="71">
        <f t="shared" si="4"/>
        <v>-38250.656055835767</v>
      </c>
      <c r="M14" s="71">
        <f t="shared" si="4"/>
        <v>-41728.903981935706</v>
      </c>
      <c r="N14" s="71">
        <f t="shared" si="4"/>
        <v>-45130.495959613545</v>
      </c>
      <c r="O14" s="71">
        <f t="shared" si="4"/>
        <v>-48458.904645960669</v>
      </c>
      <c r="P14" s="71">
        <f t="shared" si="4"/>
        <v>-51717.525409247442</v>
      </c>
      <c r="Q14" s="71">
        <f t="shared" si="4"/>
        <v>-54909.678334875192</v>
      </c>
      <c r="R14" s="71">
        <f t="shared" si="4"/>
        <v>-58038.610183431585</v>
      </c>
      <c r="S14" s="71">
        <f t="shared" si="4"/>
        <v>-61107.496302029293</v>
      </c>
      <c r="T14" s="71">
        <f t="shared" si="4"/>
        <v>-64119.442490079142</v>
      </c>
      <c r="U14" s="71">
        <f t="shared" si="4"/>
        <v>-67077.486820620979</v>
      </c>
      <c r="V14" s="71">
        <f t="shared" si="4"/>
        <v>-69984.601418308288</v>
      </c>
      <c r="W14" s="71">
        <f t="shared" si="4"/>
        <v>-72843.694195115793</v>
      </c>
      <c r="X14" s="71">
        <f t="shared" si="4"/>
        <v>-75657.61054481368</v>
      </c>
      <c r="Y14" s="71">
        <f t="shared" si="4"/>
        <v>-78429.134997226181</v>
      </c>
      <c r="Z14" s="71">
        <f t="shared" si="4"/>
        <v>-81160.992833268232</v>
      </c>
      <c r="AA14" s="71">
        <f t="shared" si="4"/>
        <v>-83855.851661729175</v>
      </c>
      <c r="AB14" s="71">
        <f t="shared" si="4"/>
        <v>-86516.322958749442</v>
      </c>
      <c r="AC14" s="71">
        <f t="shared" si="4"/>
        <v>-89144.963570912907</v>
      </c>
      <c r="AD14" s="71">
        <f t="shared" si="4"/>
        <v>-91744.277182855396</v>
      </c>
      <c r="AE14" s="71">
        <f t="shared" si="4"/>
        <v>-94316.71575026786</v>
      </c>
    </row>
    <row r="15" spans="1:31" ht="15" customHeight="1" x14ac:dyDescent="0.25">
      <c r="A15" s="4" t="s">
        <v>250</v>
      </c>
      <c r="B15" s="71">
        <f>B7</f>
        <v>1610.7017117985579</v>
      </c>
      <c r="C15" s="71">
        <f t="shared" ref="C15:AE15" si="5">B15+C7</f>
        <v>-3069.1429139456104</v>
      </c>
      <c r="D15" s="71">
        <f t="shared" si="5"/>
        <v>-7740.9442975062148</v>
      </c>
      <c r="E15" s="71">
        <f t="shared" si="5"/>
        <v>-12406.196072057246</v>
      </c>
      <c r="F15" s="71">
        <f t="shared" si="5"/>
        <v>-17066.478657157859</v>
      </c>
      <c r="G15" s="71">
        <f t="shared" si="5"/>
        <v>-21723.462970434448</v>
      </c>
      <c r="H15" s="71">
        <f t="shared" si="5"/>
        <v>-26378.914282567719</v>
      </c>
      <c r="I15" s="71">
        <f t="shared" si="5"/>
        <v>-31034.6962208773</v>
      </c>
      <c r="J15" s="71">
        <f t="shared" si="5"/>
        <v>-35692.774926987899</v>
      </c>
      <c r="K15" s="71">
        <f t="shared" si="5"/>
        <v>-40355.223374259229</v>
      </c>
      <c r="L15" s="71">
        <f t="shared" si="5"/>
        <v>-45024.225850867231</v>
      </c>
      <c r="M15" s="71">
        <f t="shared" si="5"/>
        <v>-49702.082614636907</v>
      </c>
      <c r="N15" s="71">
        <f t="shared" si="5"/>
        <v>-54391.214725947313</v>
      </c>
      <c r="O15" s="71">
        <f t="shared" si="5"/>
        <v>-59094.169065257483</v>
      </c>
      <c r="P15" s="71">
        <f t="shared" si="5"/>
        <v>-63813.623542038389</v>
      </c>
      <c r="Q15" s="71">
        <f t="shared" si="5"/>
        <v>-68552.392502140836</v>
      </c>
      <c r="R15" s="71">
        <f t="shared" si="5"/>
        <v>-73313.432340882791</v>
      </c>
      <c r="S15" s="71">
        <f t="shared" si="5"/>
        <v>-78099.847329402182</v>
      </c>
      <c r="T15" s="71">
        <f t="shared" si="5"/>
        <v>-82914.895662093375</v>
      </c>
      <c r="U15" s="71">
        <f t="shared" si="5"/>
        <v>-87761.995733227042</v>
      </c>
      <c r="V15" s="71">
        <f t="shared" si="5"/>
        <v>-92644.732651145125</v>
      </c>
      <c r="W15" s="71">
        <f t="shared" si="5"/>
        <v>-97566.864998724792</v>
      </c>
      <c r="X15" s="71">
        <f t="shared" si="5"/>
        <v>-102532.33184911823</v>
      </c>
      <c r="Y15" s="71">
        <f t="shared" si="5"/>
        <v>-107545.2600460994</v>
      </c>
      <c r="Z15" s="71">
        <f t="shared" si="5"/>
        <v>-112609.97175868468</v>
      </c>
      <c r="AA15" s="71">
        <f t="shared" si="5"/>
        <v>-117730.9923200421</v>
      </c>
      <c r="AB15" s="71">
        <f t="shared" si="5"/>
        <v>-122913.05836106403</v>
      </c>
      <c r="AC15" s="71">
        <f t="shared" si="5"/>
        <v>-128161.12624935128</v>
      </c>
      <c r="AD15" s="71">
        <f t="shared" si="5"/>
        <v>-133480.38084474302</v>
      </c>
      <c r="AE15" s="71">
        <f t="shared" si="5"/>
        <v>-138876.24458292703</v>
      </c>
    </row>
    <row r="16" spans="1:31" ht="15" customHeight="1" x14ac:dyDescent="0.25"/>
    <row r="17" spans="1:2" ht="15" customHeight="1" x14ac:dyDescent="0.25">
      <c r="A17" s="105" t="s">
        <v>251</v>
      </c>
      <c r="B17" s="106"/>
    </row>
    <row r="18" spans="1:2" ht="15" customHeight="1" x14ac:dyDescent="0.25">
      <c r="A18" s="4" t="s">
        <v>252</v>
      </c>
      <c r="B18" s="79">
        <f>SUM(B7:INDEX(B7:AE7,1,'Immobilien-Kalkulation'!$B$11))</f>
        <v>-40355.223374259229</v>
      </c>
    </row>
    <row r="19" spans="1:2" ht="15" customHeight="1" x14ac:dyDescent="0.25">
      <c r="A19" s="4" t="s">
        <v>253</v>
      </c>
      <c r="B19" s="79">
        <f>SUM(B9:INDEX(B9:AE9,1,'Immobilien-Kalkulation'!$B$11))</f>
        <v>-34692.20018034344</v>
      </c>
    </row>
    <row r="20" spans="1:2" ht="15" customHeight="1" x14ac:dyDescent="0.25">
      <c r="A20" s="4" t="s">
        <v>254</v>
      </c>
      <c r="B20" s="79">
        <f>B18-B19</f>
        <v>-5663.0231939157893</v>
      </c>
    </row>
    <row r="21" spans="1:2" ht="15" customHeight="1" x14ac:dyDescent="0.25">
      <c r="A21" s="4" t="s">
        <v>255</v>
      </c>
      <c r="B21" s="80">
        <f>IFERROR((B18-B19)/B18,"—")</f>
        <v>0.14032937301315931</v>
      </c>
    </row>
    <row r="22" spans="1:2" ht="15" customHeight="1" x14ac:dyDescent="0.25">
      <c r="A22" s="4" t="s">
        <v>256</v>
      </c>
      <c r="B22" s="81">
        <f>IFERROR(B19/'Immobilien-Kalkulation'!B63/'Immobilien-Kalkulation'!B11,"—")</f>
        <v>-4.3365250225429294E-2</v>
      </c>
    </row>
    <row r="23" spans="1:2" ht="15" customHeight="1" x14ac:dyDescent="0.25">
      <c r="A23" s="4" t="s">
        <v>257</v>
      </c>
      <c r="B23" s="18">
        <f>IFERROR(MATCH(TRUE(),INDEX(B14:AE14&gt;0,0),0),"—")</f>
        <v>1</v>
      </c>
    </row>
    <row r="24" spans="1:2" ht="15" customHeight="1" x14ac:dyDescent="0.25">
      <c r="A24" s="4" t="s">
        <v>258</v>
      </c>
      <c r="B24" s="18">
        <f>IFERROR(MATCH(TRUE(),INDEX(B15:AE15&gt;0,0),0),"—")</f>
        <v>1</v>
      </c>
    </row>
    <row r="25" spans="1:2" ht="15" customHeight="1" x14ac:dyDescent="0.25"/>
    <row r="26" spans="1:2" ht="15" customHeight="1" x14ac:dyDescent="0.25"/>
    <row r="27" spans="1:2" ht="15" customHeight="1" x14ac:dyDescent="0.25"/>
    <row r="28" spans="1:2" ht="15" customHeight="1" x14ac:dyDescent="0.25"/>
    <row r="29" spans="1:2" ht="15" customHeight="1" x14ac:dyDescent="0.25"/>
  </sheetData>
  <mergeCells count="4">
    <mergeCell ref="A2:K2"/>
    <mergeCell ref="A1:K1"/>
    <mergeCell ref="A5:K5"/>
    <mergeCell ref="A17:B17"/>
  </mergeCells>
  <conditionalFormatting sqref="B18:B19">
    <cfRule type="cellIs" dxfId="1" priority="1" operator="lessThan">
      <formula>0</formula>
    </cfRule>
  </conditionalFormatting>
  <conditionalFormatting sqref="B22">
    <cfRule type="cellIs" dxfId="0" priority="3" operator="lessThan">
      <formula>0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603"/>
  <sheetViews>
    <sheetView workbookViewId="0">
      <pane ySplit="3" topLeftCell="A4" activePane="bottomLeft" state="frozen"/>
      <selection pane="bottomLeft" sqref="A1:I1"/>
    </sheetView>
  </sheetViews>
  <sheetFormatPr baseColWidth="10" defaultColWidth="9.140625" defaultRowHeight="15" x14ac:dyDescent="0.25"/>
  <cols>
    <col min="1" max="2" width="8" style="97" customWidth="1"/>
    <col min="3" max="3" width="12" style="97" customWidth="1"/>
    <col min="4" max="4" width="18" style="97" customWidth="1"/>
    <col min="5" max="7" width="12" style="97" customWidth="1"/>
    <col min="8" max="8" width="16" style="97" customWidth="1"/>
    <col min="9" max="9" width="18" style="97" customWidth="1"/>
    <col min="10" max="10" width="16" style="97" customWidth="1"/>
    <col min="11" max="11" width="8" style="97" customWidth="1"/>
    <col min="12" max="14" width="12" style="97" customWidth="1"/>
    <col min="15" max="16" width="14" style="97" customWidth="1"/>
    <col min="17" max="17" width="12" style="97" customWidth="1"/>
  </cols>
  <sheetData>
    <row r="1" spans="1:17" ht="15.75" customHeight="1" x14ac:dyDescent="0.25">
      <c r="A1" s="112" t="s">
        <v>259</v>
      </c>
      <c r="B1" s="106"/>
      <c r="C1" s="106"/>
      <c r="D1" s="106"/>
      <c r="E1" s="106"/>
      <c r="F1" s="106"/>
      <c r="G1" s="106"/>
      <c r="H1" s="106"/>
      <c r="I1" s="106"/>
    </row>
    <row r="2" spans="1:17" x14ac:dyDescent="0.25">
      <c r="A2" s="113" t="s">
        <v>260</v>
      </c>
      <c r="B2" s="106"/>
      <c r="C2" s="106"/>
      <c r="D2" s="106"/>
      <c r="E2" s="106"/>
      <c r="F2" s="106"/>
      <c r="G2" s="106"/>
      <c r="H2" s="106"/>
      <c r="I2" s="106"/>
    </row>
    <row r="3" spans="1:17" ht="30" customHeight="1" x14ac:dyDescent="0.25">
      <c r="A3" s="37" t="s">
        <v>261</v>
      </c>
      <c r="B3" s="37" t="s">
        <v>187</v>
      </c>
      <c r="C3" s="37" t="s">
        <v>262</v>
      </c>
      <c r="D3" s="37" t="s">
        <v>263</v>
      </c>
      <c r="E3" s="37" t="s">
        <v>264</v>
      </c>
      <c r="F3" s="37" t="s">
        <v>265</v>
      </c>
      <c r="G3" s="37" t="s">
        <v>266</v>
      </c>
      <c r="H3" s="37" t="s">
        <v>267</v>
      </c>
      <c r="I3" s="37" t="s">
        <v>268</v>
      </c>
      <c r="J3" s="41" t="s">
        <v>269</v>
      </c>
      <c r="K3" s="36" t="s">
        <v>187</v>
      </c>
      <c r="L3" s="36" t="s">
        <v>270</v>
      </c>
      <c r="M3" s="36" t="s">
        <v>271</v>
      </c>
      <c r="N3" s="36" t="s">
        <v>272</v>
      </c>
      <c r="O3" s="36" t="s">
        <v>273</v>
      </c>
      <c r="P3" s="36" t="s">
        <v>274</v>
      </c>
      <c r="Q3" s="36" t="s">
        <v>275</v>
      </c>
    </row>
    <row r="4" spans="1:17" x14ac:dyDescent="0.25">
      <c r="A4">
        <v>1</v>
      </c>
      <c r="B4">
        <f t="shared" ref="B4:B67" si="0">INT((A4-1)/12)+1</f>
        <v>1</v>
      </c>
      <c r="C4" s="28">
        <f>IF(A4&gt;'Immobilien-Kalkulation'!$B$70*12,0,IF(AND('Immobilien-Kalkulation'!$B$72=1,B4&gt;'Immobilien-Kalkulation'!$B$69),'Immobilien-Kalkulation'!$B$73,'Immobilien-Kalkulation'!$B$65))</f>
        <v>3.5000000000000003E-2</v>
      </c>
      <c r="D4" s="53">
        <f>IF(A4&gt;'Immobilien-Kalkulation'!$B$70*12,0,'Immobilien-Kalkulation'!$B$64)</f>
        <v>318445</v>
      </c>
      <c r="E4" s="53">
        <f>IF(OR(A4&gt;'Immobilien-Kalkulation'!$B$70*12,D4&lt;=0),0,IF(AND('Immobilien-Kalkulation'!$B$72=1,B4&gt;'Immobilien-Kalkulation'!$B$69),MIN(D4*C4/12+'Immobilien-Kalkulation'!$B$74/12,D4*(1+C4/12)),MIN('Immobilien-Kalkulation'!$B$67,D4*(1+C4/12))))</f>
        <v>1429.9603560928113</v>
      </c>
      <c r="F4" s="53">
        <f>IF(OR(A4&gt;'Immobilien-Kalkulation'!$B$70*12,D4&lt;=0),0,D4*C4/12)</f>
        <v>928.79791666666677</v>
      </c>
      <c r="G4" s="53">
        <f>IF(OR(A4&gt;'Immobilien-Kalkulation'!$B$70*12,D4&lt;=0),0,MAX(0,MIN(D4,E4-F4)))</f>
        <v>501.16243942614449</v>
      </c>
      <c r="H4" s="95">
        <v>0</v>
      </c>
      <c r="I4" s="53">
        <f>IF(A4&gt;'Immobilien-Kalkulation'!$B$70*12,0,MAX(0,D4-G4-J4))</f>
        <v>317943.83756057388</v>
      </c>
      <c r="J4" s="53">
        <f>IF(OR(A4&gt;'Immobilien-Kalkulation'!$B$70*12,D4&lt;=0),0,MIN(H4,MAX(0,D4-G4)))</f>
        <v>0</v>
      </c>
      <c r="K4">
        <v>1</v>
      </c>
      <c r="L4" s="53">
        <f>IF(K4&gt;'Immobilien-Kalkulation'!$B$70,0,SUMIF($B$4:$B$603,K4,$F$4:$F$603))</f>
        <v>11048.157106934035</v>
      </c>
      <c r="M4" s="53">
        <f>IF(K4&gt;'Immobilien-Kalkulation'!$B$70,0,SUMIF($B$4:$B$603,K4,$E$4:$E$603)+SUMIF($B$4:$B$603,K4,$H$4:$H$603))</f>
        <v>17159.524273113737</v>
      </c>
      <c r="N4" s="53">
        <f>IF(K4&gt;'Immobilien-Kalkulation'!$B$70,0,SUMIF($B$4:$B$603,K4,$G$4:$G$603))</f>
        <v>6111.3671661796998</v>
      </c>
      <c r="O4" s="53">
        <f>IF(K4&gt;'Immobilien-Kalkulation'!$B$70,0,SUMIF($B$4:$B$603,K4,$J$4:$J$603))</f>
        <v>0</v>
      </c>
      <c r="P4" s="53">
        <f>IF(K4&gt;'Immobilien-Kalkulation'!$B$70,0,IFERROR(INDEX($I$4:$I$603,K4*12),0))</f>
        <v>312333.6328338203</v>
      </c>
      <c r="Q4" t="str">
        <f>IF(K4&lt;='Immobilien-Kalkulation'!$B$70,"ja","—")</f>
        <v>ja</v>
      </c>
    </row>
    <row r="5" spans="1:17" x14ac:dyDescent="0.25">
      <c r="A5">
        <v>2</v>
      </c>
      <c r="B5">
        <f t="shared" si="0"/>
        <v>1</v>
      </c>
      <c r="C5" s="28">
        <f>IF(A5&gt;'Immobilien-Kalkulation'!$B$70*12,0,IF(AND('Immobilien-Kalkulation'!$B$72=1,B5&gt;'Immobilien-Kalkulation'!$B$69),'Immobilien-Kalkulation'!$B$73,'Immobilien-Kalkulation'!$B$65))</f>
        <v>3.5000000000000003E-2</v>
      </c>
      <c r="D5" s="53">
        <f>IF(A5&gt;'Immobilien-Kalkulation'!$B$70*12,0,I4)</f>
        <v>317943.83756057388</v>
      </c>
      <c r="E5" s="53">
        <f>IF(OR(A5&gt;'Immobilien-Kalkulation'!$B$70*12,D5&lt;=0),0,IF(AND('Immobilien-Kalkulation'!$B$72=1,B5&gt;'Immobilien-Kalkulation'!$B$69),MIN(D5*C5/12+'Immobilien-Kalkulation'!$B$74/12,D5*(1+C5/12)),MIN('Immobilien-Kalkulation'!$B$67,D5*(1+C5/12))))</f>
        <v>1429.9603560928113</v>
      </c>
      <c r="F5" s="53">
        <f>IF(OR(A5&gt;'Immobilien-Kalkulation'!$B$70*12,D5&lt;=0),0,D5*C5/12)</f>
        <v>927.33619288500722</v>
      </c>
      <c r="G5" s="53">
        <f>IF(OR(A5&gt;'Immobilien-Kalkulation'!$B$70*12,D5&lt;=0),0,MAX(0,MIN(D5,E5-F5)))</f>
        <v>502.62416320780403</v>
      </c>
      <c r="H5" s="95">
        <v>0</v>
      </c>
      <c r="I5" s="53">
        <f>IF(A5&gt;'Immobilien-Kalkulation'!$B$70*12,0,MAX(0,D5-G5-J5))</f>
        <v>317441.21339736605</v>
      </c>
      <c r="J5" s="53">
        <f>IF(OR(A5&gt;'Immobilien-Kalkulation'!$B$70*12,D5&lt;=0),0,MIN(H5,MAX(0,D5-G5)))</f>
        <v>0</v>
      </c>
      <c r="K5">
        <v>2</v>
      </c>
      <c r="L5" s="53">
        <f>IF(K5&gt;'Immobilien-Kalkulation'!$B$70,0,SUMIF($B$4:$B$603,K5,$F$4:$F$603))</f>
        <v>10830.794398498972</v>
      </c>
      <c r="M5" s="53">
        <f>IF(K5&gt;'Immobilien-Kalkulation'!$B$70,0,SUMIF($B$4:$B$603,K5,$E$4:$E$603)+SUMIF($B$4:$B$603,K5,$H$4:$H$603))</f>
        <v>17159.524273113737</v>
      </c>
      <c r="N5" s="53">
        <f>IF(K5&gt;'Immobilien-Kalkulation'!$B$70,0,SUMIF($B$4:$B$603,K5,$G$4:$G$603))</f>
        <v>6328.7298746147635</v>
      </c>
      <c r="O5" s="53">
        <f>IF(K5&gt;'Immobilien-Kalkulation'!$B$70,0,SUMIF($B$4:$B$603,K5,$J$4:$J$603))</f>
        <v>0</v>
      </c>
      <c r="P5" s="53">
        <f>IF(K5&gt;'Immobilien-Kalkulation'!$B$70,0,IFERROR(INDEX($I$4:$I$603,K5*12),0))</f>
        <v>306004.90295920556</v>
      </c>
      <c r="Q5" t="str">
        <f>IF(K5&lt;='Immobilien-Kalkulation'!$B$70,"ja","—")</f>
        <v>ja</v>
      </c>
    </row>
    <row r="6" spans="1:17" x14ac:dyDescent="0.25">
      <c r="A6">
        <v>3</v>
      </c>
      <c r="B6">
        <f t="shared" si="0"/>
        <v>1</v>
      </c>
      <c r="C6" s="28">
        <f>IF(A6&gt;'Immobilien-Kalkulation'!$B$70*12,0,IF(AND('Immobilien-Kalkulation'!$B$72=1,B6&gt;'Immobilien-Kalkulation'!$B$69),'Immobilien-Kalkulation'!$B$73,'Immobilien-Kalkulation'!$B$65))</f>
        <v>3.5000000000000003E-2</v>
      </c>
      <c r="D6" s="53">
        <f>IF(A6&gt;'Immobilien-Kalkulation'!$B$70*12,0,I5)</f>
        <v>317441.21339736605</v>
      </c>
      <c r="E6" s="53">
        <f>IF(OR(A6&gt;'Immobilien-Kalkulation'!$B$70*12,D6&lt;=0),0,IF(AND('Immobilien-Kalkulation'!$B$72=1,B6&gt;'Immobilien-Kalkulation'!$B$69),MIN(D6*C6/12+'Immobilien-Kalkulation'!$B$74/12,D6*(1+C6/12)),MIN('Immobilien-Kalkulation'!$B$67,D6*(1+C6/12))))</f>
        <v>1429.9603560928113</v>
      </c>
      <c r="F6" s="53">
        <f>IF(OR(A6&gt;'Immobilien-Kalkulation'!$B$70*12,D6&lt;=0),0,D6*C6/12)</f>
        <v>925.87020574231781</v>
      </c>
      <c r="G6" s="53">
        <f>IF(OR(A6&gt;'Immobilien-Kalkulation'!$B$70*12,D6&lt;=0),0,MAX(0,MIN(D6,E6-F6)))</f>
        <v>504.09015035049345</v>
      </c>
      <c r="H6" s="95">
        <v>0</v>
      </c>
      <c r="I6" s="53">
        <f>IF(A6&gt;'Immobilien-Kalkulation'!$B$70*12,0,MAX(0,D6-G6-J6))</f>
        <v>316937.12324701558</v>
      </c>
      <c r="J6" s="53">
        <f>IF(OR(A6&gt;'Immobilien-Kalkulation'!$B$70*12,D6&lt;=0),0,MIN(H6,MAX(0,D6-G6)))</f>
        <v>0</v>
      </c>
      <c r="K6">
        <v>3</v>
      </c>
      <c r="L6" s="53">
        <f>IF(K6&gt;'Immobilien-Kalkulation'!$B$70,0,SUMIF($B$4:$B$603,K6,$F$4:$F$603))</f>
        <v>10605.700760840791</v>
      </c>
      <c r="M6" s="53">
        <f>IF(K6&gt;'Immobilien-Kalkulation'!$B$70,0,SUMIF($B$4:$B$603,K6,$E$4:$E$603)+SUMIF($B$4:$B$603,K6,$H$4:$H$603))</f>
        <v>17159.524273113737</v>
      </c>
      <c r="N6" s="53">
        <f>IF(K6&gt;'Immobilien-Kalkulation'!$B$70,0,SUMIF($B$4:$B$603,K6,$G$4:$G$603))</f>
        <v>6553.8235122729448</v>
      </c>
      <c r="O6" s="53">
        <f>IF(K6&gt;'Immobilien-Kalkulation'!$B$70,0,SUMIF($B$4:$B$603,K6,$J$4:$J$603))</f>
        <v>0</v>
      </c>
      <c r="P6" s="53">
        <f>IF(K6&gt;'Immobilien-Kalkulation'!$B$70,0,IFERROR(INDEX($I$4:$I$603,K6*12),0))</f>
        <v>299451.07944693259</v>
      </c>
      <c r="Q6" t="str">
        <f>IF(K6&lt;='Immobilien-Kalkulation'!$B$70,"ja","—")</f>
        <v>ja</v>
      </c>
    </row>
    <row r="7" spans="1:17" x14ac:dyDescent="0.25">
      <c r="A7">
        <v>4</v>
      </c>
      <c r="B7">
        <f t="shared" si="0"/>
        <v>1</v>
      </c>
      <c r="C7" s="28">
        <f>IF(A7&gt;'Immobilien-Kalkulation'!$B$70*12,0,IF(AND('Immobilien-Kalkulation'!$B$72=1,B7&gt;'Immobilien-Kalkulation'!$B$69),'Immobilien-Kalkulation'!$B$73,'Immobilien-Kalkulation'!$B$65))</f>
        <v>3.5000000000000003E-2</v>
      </c>
      <c r="D7" s="53">
        <f>IF(A7&gt;'Immobilien-Kalkulation'!$B$70*12,0,I6)</f>
        <v>316937.12324701558</v>
      </c>
      <c r="E7" s="53">
        <f>IF(OR(A7&gt;'Immobilien-Kalkulation'!$B$70*12,D7&lt;=0),0,IF(AND('Immobilien-Kalkulation'!$B$72=1,B7&gt;'Immobilien-Kalkulation'!$B$69),MIN(D7*C7/12+'Immobilien-Kalkulation'!$B$74/12,D7*(1+C7/12)),MIN('Immobilien-Kalkulation'!$B$67,D7*(1+C7/12))))</f>
        <v>1429.9603560928113</v>
      </c>
      <c r="F7" s="53">
        <f>IF(OR(A7&gt;'Immobilien-Kalkulation'!$B$70*12,D7&lt;=0),0,D7*C7/12)</f>
        <v>924.39994280379551</v>
      </c>
      <c r="G7" s="53">
        <f>IF(OR(A7&gt;'Immobilien-Kalkulation'!$B$70*12,D7&lt;=0),0,MAX(0,MIN(D7,E7-F7)))</f>
        <v>505.56041328901574</v>
      </c>
      <c r="H7" s="95">
        <v>0</v>
      </c>
      <c r="I7" s="53">
        <f>IF(A7&gt;'Immobilien-Kalkulation'!$B$70*12,0,MAX(0,D7-G7-J7))</f>
        <v>316431.56283372658</v>
      </c>
      <c r="J7" s="53">
        <f>IF(OR(A7&gt;'Immobilien-Kalkulation'!$B$70*12,D7&lt;=0),0,MIN(H7,MAX(0,D7-G7)))</f>
        <v>0</v>
      </c>
      <c r="K7">
        <v>4</v>
      </c>
      <c r="L7" s="53">
        <f>IF(K7&gt;'Immobilien-Kalkulation'!$B$70,0,SUMIF($B$4:$B$603,K7,$F$4:$F$603))</f>
        <v>10372.601228363583</v>
      </c>
      <c r="M7" s="53">
        <f>IF(K7&gt;'Immobilien-Kalkulation'!$B$70,0,SUMIF($B$4:$B$603,K7,$E$4:$E$603)+SUMIF($B$4:$B$603,K7,$H$4:$H$603))</f>
        <v>17159.524273113737</v>
      </c>
      <c r="N7" s="53">
        <f>IF(K7&gt;'Immobilien-Kalkulation'!$B$70,0,SUMIF($B$4:$B$603,K7,$G$4:$G$603))</f>
        <v>6786.9230447501504</v>
      </c>
      <c r="O7" s="53">
        <f>IF(K7&gt;'Immobilien-Kalkulation'!$B$70,0,SUMIF($B$4:$B$603,K7,$J$4:$J$603))</f>
        <v>0</v>
      </c>
      <c r="P7" s="53">
        <f>IF(K7&gt;'Immobilien-Kalkulation'!$B$70,0,IFERROR(INDEX($I$4:$I$603,K7*12),0))</f>
        <v>292664.15640218242</v>
      </c>
      <c r="Q7" t="str">
        <f>IF(K7&lt;='Immobilien-Kalkulation'!$B$70,"ja","—")</f>
        <v>ja</v>
      </c>
    </row>
    <row r="8" spans="1:17" x14ac:dyDescent="0.25">
      <c r="A8">
        <v>5</v>
      </c>
      <c r="B8">
        <f t="shared" si="0"/>
        <v>1</v>
      </c>
      <c r="C8" s="28">
        <f>IF(A8&gt;'Immobilien-Kalkulation'!$B$70*12,0,IF(AND('Immobilien-Kalkulation'!$B$72=1,B8&gt;'Immobilien-Kalkulation'!$B$69),'Immobilien-Kalkulation'!$B$73,'Immobilien-Kalkulation'!$B$65))</f>
        <v>3.5000000000000003E-2</v>
      </c>
      <c r="D8" s="53">
        <f>IF(A8&gt;'Immobilien-Kalkulation'!$B$70*12,0,I7)</f>
        <v>316431.56283372658</v>
      </c>
      <c r="E8" s="53">
        <f>IF(OR(A8&gt;'Immobilien-Kalkulation'!$B$70*12,D8&lt;=0),0,IF(AND('Immobilien-Kalkulation'!$B$72=1,B8&gt;'Immobilien-Kalkulation'!$B$69),MIN(D8*C8/12+'Immobilien-Kalkulation'!$B$74/12,D8*(1+C8/12)),MIN('Immobilien-Kalkulation'!$B$67,D8*(1+C8/12))))</f>
        <v>1429.9603560928113</v>
      </c>
      <c r="F8" s="53">
        <f>IF(OR(A8&gt;'Immobilien-Kalkulation'!$B$70*12,D8&lt;=0),0,D8*C8/12)</f>
        <v>922.92539159836917</v>
      </c>
      <c r="G8" s="53">
        <f>IF(OR(A8&gt;'Immobilien-Kalkulation'!$B$70*12,D8&lt;=0),0,MAX(0,MIN(D8,E8-F8)))</f>
        <v>507.03496449444208</v>
      </c>
      <c r="H8" s="95">
        <v>0</v>
      </c>
      <c r="I8" s="53">
        <f>IF(A8&gt;'Immobilien-Kalkulation'!$B$70*12,0,MAX(0,D8-G8-J8))</f>
        <v>315924.52786923212</v>
      </c>
      <c r="J8" s="53">
        <f>IF(OR(A8&gt;'Immobilien-Kalkulation'!$B$70*12,D8&lt;=0),0,MIN(H8,MAX(0,D8-G8)))</f>
        <v>0</v>
      </c>
      <c r="K8">
        <v>5</v>
      </c>
      <c r="L8" s="53">
        <f>IF(K8&gt;'Immobilien-Kalkulation'!$B$70,0,SUMIF($B$4:$B$603,K8,$F$4:$F$603))</f>
        <v>10131.211055783033</v>
      </c>
      <c r="M8" s="53">
        <f>IF(K8&gt;'Immobilien-Kalkulation'!$B$70,0,SUMIF($B$4:$B$603,K8,$E$4:$E$603)+SUMIF($B$4:$B$603,K8,$H$4:$H$603))</f>
        <v>17159.524273113737</v>
      </c>
      <c r="N8" s="53">
        <f>IF(K8&gt;'Immobilien-Kalkulation'!$B$70,0,SUMIF($B$4:$B$603,K8,$G$4:$G$603))</f>
        <v>7028.313217330704</v>
      </c>
      <c r="O8" s="53">
        <f>IF(K8&gt;'Immobilien-Kalkulation'!$B$70,0,SUMIF($B$4:$B$603,K8,$J$4:$J$603))</f>
        <v>0</v>
      </c>
      <c r="P8" s="53">
        <f>IF(K8&gt;'Immobilien-Kalkulation'!$B$70,0,IFERROR(INDEX($I$4:$I$603,K8*12),0))</f>
        <v>285635.84318485169</v>
      </c>
      <c r="Q8" t="str">
        <f>IF(K8&lt;='Immobilien-Kalkulation'!$B$70,"ja","—")</f>
        <v>ja</v>
      </c>
    </row>
    <row r="9" spans="1:17" x14ac:dyDescent="0.25">
      <c r="A9">
        <v>6</v>
      </c>
      <c r="B9">
        <f t="shared" si="0"/>
        <v>1</v>
      </c>
      <c r="C9" s="28">
        <f>IF(A9&gt;'Immobilien-Kalkulation'!$B$70*12,0,IF(AND('Immobilien-Kalkulation'!$B$72=1,B9&gt;'Immobilien-Kalkulation'!$B$69),'Immobilien-Kalkulation'!$B$73,'Immobilien-Kalkulation'!$B$65))</f>
        <v>3.5000000000000003E-2</v>
      </c>
      <c r="D9" s="53">
        <f>IF(A9&gt;'Immobilien-Kalkulation'!$B$70*12,0,I8)</f>
        <v>315924.52786923212</v>
      </c>
      <c r="E9" s="53">
        <f>IF(OR(A9&gt;'Immobilien-Kalkulation'!$B$70*12,D9&lt;=0),0,IF(AND('Immobilien-Kalkulation'!$B$72=1,B9&gt;'Immobilien-Kalkulation'!$B$69),MIN(D9*C9/12+'Immobilien-Kalkulation'!$B$74/12,D9*(1+C9/12)),MIN('Immobilien-Kalkulation'!$B$67,D9*(1+C9/12))))</f>
        <v>1429.9603560928113</v>
      </c>
      <c r="F9" s="53">
        <f>IF(OR(A9&gt;'Immobilien-Kalkulation'!$B$70*12,D9&lt;=0),0,D9*C9/12)</f>
        <v>921.44653961859376</v>
      </c>
      <c r="G9" s="53">
        <f>IF(OR(A9&gt;'Immobilien-Kalkulation'!$B$70*12,D9&lt;=0),0,MAX(0,MIN(D9,E9-F9)))</f>
        <v>508.51381647421749</v>
      </c>
      <c r="H9" s="95">
        <v>0</v>
      </c>
      <c r="I9" s="53">
        <f>IF(A9&gt;'Immobilien-Kalkulation'!$B$70*12,0,MAX(0,D9-G9-J9))</f>
        <v>315416.01405275788</v>
      </c>
      <c r="J9" s="53">
        <f>IF(OR(A9&gt;'Immobilien-Kalkulation'!$B$70*12,D9&lt;=0),0,MIN(H9,MAX(0,D9-G9)))</f>
        <v>0</v>
      </c>
      <c r="K9">
        <v>6</v>
      </c>
      <c r="L9" s="53">
        <f>IF(K9&gt;'Immobilien-Kalkulation'!$B$70,0,SUMIF($B$4:$B$603,K9,$F$4:$F$603))</f>
        <v>9881.2353702926885</v>
      </c>
      <c r="M9" s="53">
        <f>IF(K9&gt;'Immobilien-Kalkulation'!$B$70,0,SUMIF($B$4:$B$603,K9,$E$4:$E$603)+SUMIF($B$4:$B$603,K9,$H$4:$H$603))</f>
        <v>17159.524273113737</v>
      </c>
      <c r="N9" s="53">
        <f>IF(K9&gt;'Immobilien-Kalkulation'!$B$70,0,SUMIF($B$4:$B$603,K9,$G$4:$G$603))</f>
        <v>7278.2889028210457</v>
      </c>
      <c r="O9" s="53">
        <f>IF(K9&gt;'Immobilien-Kalkulation'!$B$70,0,SUMIF($B$4:$B$603,K9,$J$4:$J$603))</f>
        <v>0</v>
      </c>
      <c r="P9" s="53">
        <f>IF(K9&gt;'Immobilien-Kalkulation'!$B$70,0,IFERROR(INDEX($I$4:$I$603,K9*12),0))</f>
        <v>278357.55428203067</v>
      </c>
      <c r="Q9" t="str">
        <f>IF(K9&lt;='Immobilien-Kalkulation'!$B$70,"ja","—")</f>
        <v>ja</v>
      </c>
    </row>
    <row r="10" spans="1:17" x14ac:dyDescent="0.25">
      <c r="A10">
        <v>7</v>
      </c>
      <c r="B10">
        <f t="shared" si="0"/>
        <v>1</v>
      </c>
      <c r="C10" s="28">
        <f>IF(A10&gt;'Immobilien-Kalkulation'!$B$70*12,0,IF(AND('Immobilien-Kalkulation'!$B$72=1,B10&gt;'Immobilien-Kalkulation'!$B$69),'Immobilien-Kalkulation'!$B$73,'Immobilien-Kalkulation'!$B$65))</f>
        <v>3.5000000000000003E-2</v>
      </c>
      <c r="D10" s="53">
        <f>IF(A10&gt;'Immobilien-Kalkulation'!$B$70*12,0,I9)</f>
        <v>315416.01405275788</v>
      </c>
      <c r="E10" s="53">
        <f>IF(OR(A10&gt;'Immobilien-Kalkulation'!$B$70*12,D10&lt;=0),0,IF(AND('Immobilien-Kalkulation'!$B$72=1,B10&gt;'Immobilien-Kalkulation'!$B$69),MIN(D10*C10/12+'Immobilien-Kalkulation'!$B$74/12,D10*(1+C10/12)),MIN('Immobilien-Kalkulation'!$B$67,D10*(1+C10/12))))</f>
        <v>1429.9603560928113</v>
      </c>
      <c r="F10" s="53">
        <f>IF(OR(A10&gt;'Immobilien-Kalkulation'!$B$70*12,D10&lt;=0),0,D10*C10/12)</f>
        <v>919.96337432054395</v>
      </c>
      <c r="G10" s="53">
        <f>IF(OR(A10&gt;'Immobilien-Kalkulation'!$B$70*12,D10&lt;=0),0,MAX(0,MIN(D10,E10-F10)))</f>
        <v>509.9969817722673</v>
      </c>
      <c r="H10" s="95">
        <v>0</v>
      </c>
      <c r="I10" s="53">
        <f>IF(A10&gt;'Immobilien-Kalkulation'!$B$70*12,0,MAX(0,D10-G10-J10))</f>
        <v>314906.01707098563</v>
      </c>
      <c r="J10" s="53">
        <f>IF(OR(A10&gt;'Immobilien-Kalkulation'!$B$70*12,D10&lt;=0),0,MIN(H10,MAX(0,D10-G10)))</f>
        <v>0</v>
      </c>
      <c r="K10">
        <v>7</v>
      </c>
      <c r="L10" s="53">
        <f>IF(K10&gt;'Immobilien-Kalkulation'!$B$70,0,SUMIF($B$4:$B$603,K10,$F$4:$F$603))</f>
        <v>9622.3688113588723</v>
      </c>
      <c r="M10" s="53">
        <f>IF(K10&gt;'Immobilien-Kalkulation'!$B$70,0,SUMIF($B$4:$B$603,K10,$E$4:$E$603)+SUMIF($B$4:$B$603,K10,$H$4:$H$603))</f>
        <v>17159.524273113737</v>
      </c>
      <c r="N10" s="53">
        <f>IF(K10&gt;'Immobilien-Kalkulation'!$B$70,0,SUMIF($B$4:$B$603,K10,$G$4:$G$603))</f>
        <v>7537.1554617548627</v>
      </c>
      <c r="O10" s="53">
        <f>IF(K10&gt;'Immobilien-Kalkulation'!$B$70,0,SUMIF($B$4:$B$603,K10,$J$4:$J$603))</f>
        <v>0</v>
      </c>
      <c r="P10" s="53">
        <f>IF(K10&gt;'Immobilien-Kalkulation'!$B$70,0,IFERROR(INDEX($I$4:$I$603,K10*12),0))</f>
        <v>270820.39882027579</v>
      </c>
      <c r="Q10" t="str">
        <f>IF(K10&lt;='Immobilien-Kalkulation'!$B$70,"ja","—")</f>
        <v>ja</v>
      </c>
    </row>
    <row r="11" spans="1:17" x14ac:dyDescent="0.25">
      <c r="A11">
        <v>8</v>
      </c>
      <c r="B11">
        <f t="shared" si="0"/>
        <v>1</v>
      </c>
      <c r="C11" s="28">
        <f>IF(A11&gt;'Immobilien-Kalkulation'!$B$70*12,0,IF(AND('Immobilien-Kalkulation'!$B$72=1,B11&gt;'Immobilien-Kalkulation'!$B$69),'Immobilien-Kalkulation'!$B$73,'Immobilien-Kalkulation'!$B$65))</f>
        <v>3.5000000000000003E-2</v>
      </c>
      <c r="D11" s="53">
        <f>IF(A11&gt;'Immobilien-Kalkulation'!$B$70*12,0,I10)</f>
        <v>314906.01707098563</v>
      </c>
      <c r="E11" s="53">
        <f>IF(OR(A11&gt;'Immobilien-Kalkulation'!$B$70*12,D11&lt;=0),0,IF(AND('Immobilien-Kalkulation'!$B$72=1,B11&gt;'Immobilien-Kalkulation'!$B$69),MIN(D11*C11/12+'Immobilien-Kalkulation'!$B$74/12,D11*(1+C11/12)),MIN('Immobilien-Kalkulation'!$B$67,D11*(1+C11/12))))</f>
        <v>1429.9603560928113</v>
      </c>
      <c r="F11" s="53">
        <f>IF(OR(A11&gt;'Immobilien-Kalkulation'!$B$70*12,D11&lt;=0),0,D11*C11/12)</f>
        <v>918.47588312370817</v>
      </c>
      <c r="G11" s="53">
        <f>IF(OR(A11&gt;'Immobilien-Kalkulation'!$B$70*12,D11&lt;=0),0,MAX(0,MIN(D11,E11-F11)))</f>
        <v>511.48447296910308</v>
      </c>
      <c r="H11" s="95">
        <v>0</v>
      </c>
      <c r="I11" s="53">
        <f>IF(A11&gt;'Immobilien-Kalkulation'!$B$70*12,0,MAX(0,D11-G11-J11))</f>
        <v>314394.53259801655</v>
      </c>
      <c r="J11" s="53">
        <f>IF(OR(A11&gt;'Immobilien-Kalkulation'!$B$70*12,D11&lt;=0),0,MIN(H11,MAX(0,D11-G11)))</f>
        <v>0</v>
      </c>
      <c r="K11">
        <v>8</v>
      </c>
      <c r="L11" s="53">
        <f>IF(K11&gt;'Immobilien-Kalkulation'!$B$70,0,SUMIF($B$4:$B$603,K11,$F$4:$F$603))</f>
        <v>9354.2951577041713</v>
      </c>
      <c r="M11" s="53">
        <f>IF(K11&gt;'Immobilien-Kalkulation'!$B$70,0,SUMIF($B$4:$B$603,K11,$E$4:$E$603)+SUMIF($B$4:$B$603,K11,$H$4:$H$603))</f>
        <v>17159.524273113737</v>
      </c>
      <c r="N11" s="53">
        <f>IF(K11&gt;'Immobilien-Kalkulation'!$B$70,0,SUMIF($B$4:$B$603,K11,$G$4:$G$603))</f>
        <v>7805.229115409561</v>
      </c>
      <c r="O11" s="53">
        <f>IF(K11&gt;'Immobilien-Kalkulation'!$B$70,0,SUMIF($B$4:$B$603,K11,$J$4:$J$603))</f>
        <v>0</v>
      </c>
      <c r="P11" s="53">
        <f>IF(K11&gt;'Immobilien-Kalkulation'!$B$70,0,IFERROR(INDEX($I$4:$I$603,K11*12),0))</f>
        <v>263015.16970486619</v>
      </c>
      <c r="Q11" t="str">
        <f>IF(K11&lt;='Immobilien-Kalkulation'!$B$70,"ja","—")</f>
        <v>ja</v>
      </c>
    </row>
    <row r="12" spans="1:17" x14ac:dyDescent="0.25">
      <c r="A12">
        <v>9</v>
      </c>
      <c r="B12">
        <f t="shared" si="0"/>
        <v>1</v>
      </c>
      <c r="C12" s="28">
        <f>IF(A12&gt;'Immobilien-Kalkulation'!$B$70*12,0,IF(AND('Immobilien-Kalkulation'!$B$72=1,B12&gt;'Immobilien-Kalkulation'!$B$69),'Immobilien-Kalkulation'!$B$73,'Immobilien-Kalkulation'!$B$65))</f>
        <v>3.5000000000000003E-2</v>
      </c>
      <c r="D12" s="53">
        <f>IF(A12&gt;'Immobilien-Kalkulation'!$B$70*12,0,I11)</f>
        <v>314394.53259801655</v>
      </c>
      <c r="E12" s="53">
        <f>IF(OR(A12&gt;'Immobilien-Kalkulation'!$B$70*12,D12&lt;=0),0,IF(AND('Immobilien-Kalkulation'!$B$72=1,B12&gt;'Immobilien-Kalkulation'!$B$69),MIN(D12*C12/12+'Immobilien-Kalkulation'!$B$74/12,D12*(1+C12/12)),MIN('Immobilien-Kalkulation'!$B$67,D12*(1+C12/12))))</f>
        <v>1429.9603560928113</v>
      </c>
      <c r="F12" s="53">
        <f>IF(OR(A12&gt;'Immobilien-Kalkulation'!$B$70*12,D12&lt;=0),0,D12*C12/12)</f>
        <v>916.98405341088164</v>
      </c>
      <c r="G12" s="53">
        <f>IF(OR(A12&gt;'Immobilien-Kalkulation'!$B$70*12,D12&lt;=0),0,MAX(0,MIN(D12,E12-F12)))</f>
        <v>512.97630268192961</v>
      </c>
      <c r="H12" s="95">
        <v>0</v>
      </c>
      <c r="I12" s="53">
        <f>IF(A12&gt;'Immobilien-Kalkulation'!$B$70*12,0,MAX(0,D12-G12-J12))</f>
        <v>313881.55629533459</v>
      </c>
      <c r="J12" s="53">
        <f>IF(OR(A12&gt;'Immobilien-Kalkulation'!$B$70*12,D12&lt;=0),0,MIN(H12,MAX(0,D12-G12)))</f>
        <v>0</v>
      </c>
      <c r="K12">
        <v>9</v>
      </c>
      <c r="L12" s="53">
        <f>IF(K12&gt;'Immobilien-Kalkulation'!$B$70,0,SUMIF($B$4:$B$603,K12,$F$4:$F$603))</f>
        <v>9076.6869410238814</v>
      </c>
      <c r="M12" s="53">
        <f>IF(K12&gt;'Immobilien-Kalkulation'!$B$70,0,SUMIF($B$4:$B$603,K12,$E$4:$E$603)+SUMIF($B$4:$B$603,K12,$H$4:$H$603))</f>
        <v>17159.524273113737</v>
      </c>
      <c r="N12" s="53">
        <f>IF(K12&gt;'Immobilien-Kalkulation'!$B$70,0,SUMIF($B$4:$B$603,K12,$G$4:$G$603))</f>
        <v>8082.8373320898536</v>
      </c>
      <c r="O12" s="53">
        <f>IF(K12&gt;'Immobilien-Kalkulation'!$B$70,0,SUMIF($B$4:$B$603,K12,$J$4:$J$603))</f>
        <v>0</v>
      </c>
      <c r="P12" s="53">
        <f>IF(K12&gt;'Immobilien-Kalkulation'!$B$70,0,IFERROR(INDEX($I$4:$I$603,K12*12),0))</f>
        <v>254932.33237277635</v>
      </c>
      <c r="Q12" t="str">
        <f>IF(K12&lt;='Immobilien-Kalkulation'!$B$70,"ja","—")</f>
        <v>ja</v>
      </c>
    </row>
    <row r="13" spans="1:17" x14ac:dyDescent="0.25">
      <c r="A13">
        <v>10</v>
      </c>
      <c r="B13">
        <f t="shared" si="0"/>
        <v>1</v>
      </c>
      <c r="C13" s="28">
        <f>IF(A13&gt;'Immobilien-Kalkulation'!$B$70*12,0,IF(AND('Immobilien-Kalkulation'!$B$72=1,B13&gt;'Immobilien-Kalkulation'!$B$69),'Immobilien-Kalkulation'!$B$73,'Immobilien-Kalkulation'!$B$65))</f>
        <v>3.5000000000000003E-2</v>
      </c>
      <c r="D13" s="53">
        <f>IF(A13&gt;'Immobilien-Kalkulation'!$B$70*12,0,I12)</f>
        <v>313881.55629533459</v>
      </c>
      <c r="E13" s="53">
        <f>IF(OR(A13&gt;'Immobilien-Kalkulation'!$B$70*12,D13&lt;=0),0,IF(AND('Immobilien-Kalkulation'!$B$72=1,B13&gt;'Immobilien-Kalkulation'!$B$69),MIN(D13*C13/12+'Immobilien-Kalkulation'!$B$74/12,D13*(1+C13/12)),MIN('Immobilien-Kalkulation'!$B$67,D13*(1+C13/12))))</f>
        <v>1429.9603560928113</v>
      </c>
      <c r="F13" s="53">
        <f>IF(OR(A13&gt;'Immobilien-Kalkulation'!$B$70*12,D13&lt;=0),0,D13*C13/12)</f>
        <v>915.48787252805926</v>
      </c>
      <c r="G13" s="53">
        <f>IF(OR(A13&gt;'Immobilien-Kalkulation'!$B$70*12,D13&lt;=0),0,MAX(0,MIN(D13,E13-F13)))</f>
        <v>514.472483564752</v>
      </c>
      <c r="H13" s="95">
        <v>0</v>
      </c>
      <c r="I13" s="53">
        <f>IF(A13&gt;'Immobilien-Kalkulation'!$B$70*12,0,MAX(0,D13-G13-J13))</f>
        <v>313367.08381176984</v>
      </c>
      <c r="J13" s="53">
        <f>IF(OR(A13&gt;'Immobilien-Kalkulation'!$B$70*12,D13&lt;=0),0,MIN(H13,MAX(0,D13-G13)))</f>
        <v>0</v>
      </c>
      <c r="K13">
        <v>10</v>
      </c>
      <c r="L13" s="53">
        <f>IF(K13&gt;'Immobilien-Kalkulation'!$B$70,0,SUMIF($B$4:$B$603,K13,$F$4:$F$603))</f>
        <v>8789.2050459635084</v>
      </c>
      <c r="M13" s="53">
        <f>IF(K13&gt;'Immobilien-Kalkulation'!$B$70,0,SUMIF($B$4:$B$603,K13,$E$4:$E$603)+SUMIF($B$4:$B$603,K13,$H$4:$H$603))</f>
        <v>17159.524273113737</v>
      </c>
      <c r="N13" s="53">
        <f>IF(K13&gt;'Immobilien-Kalkulation'!$B$70,0,SUMIF($B$4:$B$603,K13,$G$4:$G$603))</f>
        <v>8370.3192271502303</v>
      </c>
      <c r="O13" s="53">
        <f>IF(K13&gt;'Immobilien-Kalkulation'!$B$70,0,SUMIF($B$4:$B$603,K13,$J$4:$J$603))</f>
        <v>0</v>
      </c>
      <c r="P13" s="53">
        <f>IF(K13&gt;'Immobilien-Kalkulation'!$B$70,0,IFERROR(INDEX($I$4:$I$603,K13*12),0))</f>
        <v>246562.01314562609</v>
      </c>
      <c r="Q13" t="str">
        <f>IF(K13&lt;='Immobilien-Kalkulation'!$B$70,"ja","—")</f>
        <v>ja</v>
      </c>
    </row>
    <row r="14" spans="1:17" x14ac:dyDescent="0.25">
      <c r="A14">
        <v>11</v>
      </c>
      <c r="B14">
        <f t="shared" si="0"/>
        <v>1</v>
      </c>
      <c r="C14" s="28">
        <f>IF(A14&gt;'Immobilien-Kalkulation'!$B$70*12,0,IF(AND('Immobilien-Kalkulation'!$B$72=1,B14&gt;'Immobilien-Kalkulation'!$B$69),'Immobilien-Kalkulation'!$B$73,'Immobilien-Kalkulation'!$B$65))</f>
        <v>3.5000000000000003E-2</v>
      </c>
      <c r="D14" s="53">
        <f>IF(A14&gt;'Immobilien-Kalkulation'!$B$70*12,0,I13)</f>
        <v>313367.08381176984</v>
      </c>
      <c r="E14" s="53">
        <f>IF(OR(A14&gt;'Immobilien-Kalkulation'!$B$70*12,D14&lt;=0),0,IF(AND('Immobilien-Kalkulation'!$B$72=1,B14&gt;'Immobilien-Kalkulation'!$B$69),MIN(D14*C14/12+'Immobilien-Kalkulation'!$B$74/12,D14*(1+C14/12)),MIN('Immobilien-Kalkulation'!$B$67,D14*(1+C14/12))))</f>
        <v>1429.9603560928113</v>
      </c>
      <c r="F14" s="53">
        <f>IF(OR(A14&gt;'Immobilien-Kalkulation'!$B$70*12,D14&lt;=0),0,D14*C14/12)</f>
        <v>913.98732778432884</v>
      </c>
      <c r="G14" s="53">
        <f>IF(OR(A14&gt;'Immobilien-Kalkulation'!$B$70*12,D14&lt;=0),0,MAX(0,MIN(D14,E14-F14)))</f>
        <v>515.97302830848241</v>
      </c>
      <c r="H14" s="95">
        <v>0</v>
      </c>
      <c r="I14" s="53">
        <f>IF(A14&gt;'Immobilien-Kalkulation'!$B$70*12,0,MAX(0,D14-G14-J14))</f>
        <v>312851.11078346136</v>
      </c>
      <c r="J14" s="53">
        <f>IF(OR(A14&gt;'Immobilien-Kalkulation'!$B$70*12,D14&lt;=0),0,MIN(H14,MAX(0,D14-G14)))</f>
        <v>0</v>
      </c>
      <c r="K14">
        <v>11</v>
      </c>
      <c r="L14" s="53">
        <f>IF(K14&gt;'Immobilien-Kalkulation'!$B$70,0,SUMIF($B$4:$B$603,K14,$F$4:$F$603))</f>
        <v>8491.4982958687015</v>
      </c>
      <c r="M14" s="53">
        <f>IF(K14&gt;'Immobilien-Kalkulation'!$B$70,0,SUMIF($B$4:$B$603,K14,$E$4:$E$603)+SUMIF($B$4:$B$603,K14,$H$4:$H$603))</f>
        <v>17159.524273113737</v>
      </c>
      <c r="N14" s="53">
        <f>IF(K14&gt;'Immobilien-Kalkulation'!$B$70,0,SUMIF($B$4:$B$603,K14,$G$4:$G$603))</f>
        <v>8668.0259772450318</v>
      </c>
      <c r="O14" s="53">
        <f>IF(K14&gt;'Immobilien-Kalkulation'!$B$70,0,SUMIF($B$4:$B$603,K14,$J$4:$J$603))</f>
        <v>0</v>
      </c>
      <c r="P14" s="53">
        <f>IF(K14&gt;'Immobilien-Kalkulation'!$B$70,0,IFERROR(INDEX($I$4:$I$603,K14*12),0))</f>
        <v>237893.98716838105</v>
      </c>
      <c r="Q14" t="str">
        <f>IF(K14&lt;='Immobilien-Kalkulation'!$B$70,"ja","—")</f>
        <v>ja</v>
      </c>
    </row>
    <row r="15" spans="1:17" x14ac:dyDescent="0.25">
      <c r="A15">
        <v>12</v>
      </c>
      <c r="B15">
        <f t="shared" si="0"/>
        <v>1</v>
      </c>
      <c r="C15" s="28">
        <f>IF(A15&gt;'Immobilien-Kalkulation'!$B$70*12,0,IF(AND('Immobilien-Kalkulation'!$B$72=1,B15&gt;'Immobilien-Kalkulation'!$B$69),'Immobilien-Kalkulation'!$B$73,'Immobilien-Kalkulation'!$B$65))</f>
        <v>3.5000000000000003E-2</v>
      </c>
      <c r="D15" s="53">
        <f>IF(A15&gt;'Immobilien-Kalkulation'!$B$70*12,0,I14)</f>
        <v>312851.11078346136</v>
      </c>
      <c r="E15" s="53">
        <f>IF(OR(A15&gt;'Immobilien-Kalkulation'!$B$70*12,D15&lt;=0),0,IF(AND('Immobilien-Kalkulation'!$B$72=1,B15&gt;'Immobilien-Kalkulation'!$B$69),MIN(D15*C15/12+'Immobilien-Kalkulation'!$B$74/12,D15*(1+C15/12)),MIN('Immobilien-Kalkulation'!$B$67,D15*(1+C15/12))))</f>
        <v>1429.9603560928113</v>
      </c>
      <c r="F15" s="53">
        <f>IF(OR(A15&gt;'Immobilien-Kalkulation'!$B$70*12,D15&lt;=0),0,D15*C15/12)</f>
        <v>912.48240645176247</v>
      </c>
      <c r="G15" s="53">
        <f>IF(OR(A15&gt;'Immobilien-Kalkulation'!$B$70*12,D15&lt;=0),0,MAX(0,MIN(D15,E15-F15)))</f>
        <v>517.47794964104878</v>
      </c>
      <c r="H15" s="95">
        <v>0</v>
      </c>
      <c r="I15" s="53">
        <f>IF(A15&gt;'Immobilien-Kalkulation'!$B$70*12,0,MAX(0,D15-G15-J15))</f>
        <v>312333.6328338203</v>
      </c>
      <c r="J15" s="53">
        <f>IF(OR(A15&gt;'Immobilien-Kalkulation'!$B$70*12,D15&lt;=0),0,MIN(H15,MAX(0,D15-G15)))</f>
        <v>0</v>
      </c>
      <c r="K15">
        <v>12</v>
      </c>
      <c r="L15" s="53">
        <f>IF(K15&gt;'Immobilien-Kalkulation'!$B$70,0,SUMIF($B$4:$B$603,K15,$F$4:$F$603))</f>
        <v>8183.2030238015786</v>
      </c>
      <c r="M15" s="53">
        <f>IF(K15&gt;'Immobilien-Kalkulation'!$B$70,0,SUMIF($B$4:$B$603,K15,$E$4:$E$603)+SUMIF($B$4:$B$603,K15,$H$4:$H$603))</f>
        <v>17159.524273113737</v>
      </c>
      <c r="N15" s="53">
        <f>IF(K15&gt;'Immobilien-Kalkulation'!$B$70,0,SUMIF($B$4:$B$603,K15,$G$4:$G$603))</f>
        <v>8976.3212493121591</v>
      </c>
      <c r="O15" s="53">
        <f>IF(K15&gt;'Immobilien-Kalkulation'!$B$70,0,SUMIF($B$4:$B$603,K15,$J$4:$J$603))</f>
        <v>0</v>
      </c>
      <c r="P15" s="53">
        <f>IF(K15&gt;'Immobilien-Kalkulation'!$B$70,0,IFERROR(INDEX($I$4:$I$603,K15*12),0))</f>
        <v>228917.66591906891</v>
      </c>
      <c r="Q15" t="str">
        <f>IF(K15&lt;='Immobilien-Kalkulation'!$B$70,"ja","—")</f>
        <v>ja</v>
      </c>
    </row>
    <row r="16" spans="1:17" x14ac:dyDescent="0.25">
      <c r="A16">
        <v>13</v>
      </c>
      <c r="B16">
        <f t="shared" si="0"/>
        <v>2</v>
      </c>
      <c r="C16" s="28">
        <f>IF(A16&gt;'Immobilien-Kalkulation'!$B$70*12,0,IF(AND('Immobilien-Kalkulation'!$B$72=1,B16&gt;'Immobilien-Kalkulation'!$B$69),'Immobilien-Kalkulation'!$B$73,'Immobilien-Kalkulation'!$B$65))</f>
        <v>3.5000000000000003E-2</v>
      </c>
      <c r="D16" s="53">
        <f>IF(A16&gt;'Immobilien-Kalkulation'!$B$70*12,0,I15)</f>
        <v>312333.6328338203</v>
      </c>
      <c r="E16" s="53">
        <f>IF(OR(A16&gt;'Immobilien-Kalkulation'!$B$70*12,D16&lt;=0),0,IF(AND('Immobilien-Kalkulation'!$B$72=1,B16&gt;'Immobilien-Kalkulation'!$B$69),MIN(D16*C16/12+'Immobilien-Kalkulation'!$B$74/12,D16*(1+C16/12)),MIN('Immobilien-Kalkulation'!$B$67,D16*(1+C16/12))))</f>
        <v>1429.9603560928113</v>
      </c>
      <c r="F16" s="53">
        <f>IF(OR(A16&gt;'Immobilien-Kalkulation'!$B$70*12,D16&lt;=0),0,D16*C16/12)</f>
        <v>910.97309576530927</v>
      </c>
      <c r="G16" s="53">
        <f>IF(OR(A16&gt;'Immobilien-Kalkulation'!$B$70*12,D16&lt;=0),0,MAX(0,MIN(D16,E16-F16)))</f>
        <v>518.98726032750199</v>
      </c>
      <c r="H16" s="95">
        <v>0</v>
      </c>
      <c r="I16" s="53">
        <f>IF(A16&gt;'Immobilien-Kalkulation'!$B$70*12,0,MAX(0,D16-G16-J16))</f>
        <v>311814.6455734928</v>
      </c>
      <c r="J16" s="53">
        <f>IF(OR(A16&gt;'Immobilien-Kalkulation'!$B$70*12,D16&lt;=0),0,MIN(H16,MAX(0,D16-G16)))</f>
        <v>0</v>
      </c>
      <c r="K16">
        <v>13</v>
      </c>
      <c r="L16" s="53">
        <f>IF(K16&gt;'Immobilien-Kalkulation'!$B$70,0,SUMIF($B$4:$B$603,K16,$F$4:$F$603))</f>
        <v>7863.9426282993782</v>
      </c>
      <c r="M16" s="53">
        <f>IF(K16&gt;'Immobilien-Kalkulation'!$B$70,0,SUMIF($B$4:$B$603,K16,$E$4:$E$603)+SUMIF($B$4:$B$603,K16,$H$4:$H$603))</f>
        <v>17159.524273113737</v>
      </c>
      <c r="N16" s="53">
        <f>IF(K16&gt;'Immobilien-Kalkulation'!$B$70,0,SUMIF($B$4:$B$603,K16,$G$4:$G$603))</f>
        <v>9295.581644814356</v>
      </c>
      <c r="O16" s="53">
        <f>IF(K16&gt;'Immobilien-Kalkulation'!$B$70,0,SUMIF($B$4:$B$603,K16,$J$4:$J$603))</f>
        <v>0</v>
      </c>
      <c r="P16" s="53">
        <f>IF(K16&gt;'Immobilien-Kalkulation'!$B$70,0,IFERROR(INDEX($I$4:$I$603,K16*12),0))</f>
        <v>219622.08427425459</v>
      </c>
      <c r="Q16" t="str">
        <f>IF(K16&lt;='Immobilien-Kalkulation'!$B$70,"ja","—")</f>
        <v>ja</v>
      </c>
    </row>
    <row r="17" spans="1:17" x14ac:dyDescent="0.25">
      <c r="A17">
        <v>14</v>
      </c>
      <c r="B17">
        <f t="shared" si="0"/>
        <v>2</v>
      </c>
      <c r="C17" s="28">
        <f>IF(A17&gt;'Immobilien-Kalkulation'!$B$70*12,0,IF(AND('Immobilien-Kalkulation'!$B$72=1,B17&gt;'Immobilien-Kalkulation'!$B$69),'Immobilien-Kalkulation'!$B$73,'Immobilien-Kalkulation'!$B$65))</f>
        <v>3.5000000000000003E-2</v>
      </c>
      <c r="D17" s="53">
        <f>IF(A17&gt;'Immobilien-Kalkulation'!$B$70*12,0,I16)</f>
        <v>311814.6455734928</v>
      </c>
      <c r="E17" s="53">
        <f>IF(OR(A17&gt;'Immobilien-Kalkulation'!$B$70*12,D17&lt;=0),0,IF(AND('Immobilien-Kalkulation'!$B$72=1,B17&gt;'Immobilien-Kalkulation'!$B$69),MIN(D17*C17/12+'Immobilien-Kalkulation'!$B$74/12,D17*(1+C17/12)),MIN('Immobilien-Kalkulation'!$B$67,D17*(1+C17/12))))</f>
        <v>1429.9603560928113</v>
      </c>
      <c r="F17" s="53">
        <f>IF(OR(A17&gt;'Immobilien-Kalkulation'!$B$70*12,D17&lt;=0),0,D17*C17/12)</f>
        <v>909.45938292268738</v>
      </c>
      <c r="G17" s="53">
        <f>IF(OR(A17&gt;'Immobilien-Kalkulation'!$B$70*12,D17&lt;=0),0,MAX(0,MIN(D17,E17-F17)))</f>
        <v>520.50097317012387</v>
      </c>
      <c r="H17" s="95">
        <v>0</v>
      </c>
      <c r="I17" s="53">
        <f>IF(A17&gt;'Immobilien-Kalkulation'!$B$70*12,0,MAX(0,D17-G17-J17))</f>
        <v>311294.1446003227</v>
      </c>
      <c r="J17" s="53">
        <f>IF(OR(A17&gt;'Immobilien-Kalkulation'!$B$70*12,D17&lt;=0),0,MIN(H17,MAX(0,D17-G17)))</f>
        <v>0</v>
      </c>
      <c r="K17">
        <v>14</v>
      </c>
      <c r="L17" s="53">
        <f>IF(K17&gt;'Immobilien-Kalkulation'!$B$70,0,SUMIF($B$4:$B$603,K17,$F$4:$F$603))</f>
        <v>7533.3271133328408</v>
      </c>
      <c r="M17" s="53">
        <f>IF(K17&gt;'Immobilien-Kalkulation'!$B$70,0,SUMIF($B$4:$B$603,K17,$E$4:$E$603)+SUMIF($B$4:$B$603,K17,$H$4:$H$603))</f>
        <v>17159.524273113737</v>
      </c>
      <c r="N17" s="53">
        <f>IF(K17&gt;'Immobilien-Kalkulation'!$B$70,0,SUMIF($B$4:$B$603,K17,$G$4:$G$603))</f>
        <v>9626.1971597808933</v>
      </c>
      <c r="O17" s="53">
        <f>IF(K17&gt;'Immobilien-Kalkulation'!$B$70,0,SUMIF($B$4:$B$603,K17,$J$4:$J$603))</f>
        <v>0</v>
      </c>
      <c r="P17" s="53">
        <f>IF(K17&gt;'Immobilien-Kalkulation'!$B$70,0,IFERROR(INDEX($I$4:$I$603,K17*12),0))</f>
        <v>209995.88711447373</v>
      </c>
      <c r="Q17" t="str">
        <f>IF(K17&lt;='Immobilien-Kalkulation'!$B$70,"ja","—")</f>
        <v>ja</v>
      </c>
    </row>
    <row r="18" spans="1:17" x14ac:dyDescent="0.25">
      <c r="A18">
        <v>15</v>
      </c>
      <c r="B18">
        <f t="shared" si="0"/>
        <v>2</v>
      </c>
      <c r="C18" s="28">
        <f>IF(A18&gt;'Immobilien-Kalkulation'!$B$70*12,0,IF(AND('Immobilien-Kalkulation'!$B$72=1,B18&gt;'Immobilien-Kalkulation'!$B$69),'Immobilien-Kalkulation'!$B$73,'Immobilien-Kalkulation'!$B$65))</f>
        <v>3.5000000000000003E-2</v>
      </c>
      <c r="D18" s="53">
        <f>IF(A18&gt;'Immobilien-Kalkulation'!$B$70*12,0,I17)</f>
        <v>311294.1446003227</v>
      </c>
      <c r="E18" s="53">
        <f>IF(OR(A18&gt;'Immobilien-Kalkulation'!$B$70*12,D18&lt;=0),0,IF(AND('Immobilien-Kalkulation'!$B$72=1,B18&gt;'Immobilien-Kalkulation'!$B$69),MIN(D18*C18/12+'Immobilien-Kalkulation'!$B$74/12,D18*(1+C18/12)),MIN('Immobilien-Kalkulation'!$B$67,D18*(1+C18/12))))</f>
        <v>1429.9603560928113</v>
      </c>
      <c r="F18" s="53">
        <f>IF(OR(A18&gt;'Immobilien-Kalkulation'!$B$70*12,D18&lt;=0),0,D18*C18/12)</f>
        <v>907.94125508427453</v>
      </c>
      <c r="G18" s="53">
        <f>IF(OR(A18&gt;'Immobilien-Kalkulation'!$B$70*12,D18&lt;=0),0,MAX(0,MIN(D18,E18-F18)))</f>
        <v>522.01910100853672</v>
      </c>
      <c r="H18" s="95">
        <v>0</v>
      </c>
      <c r="I18" s="53">
        <f>IF(A18&gt;'Immobilien-Kalkulation'!$B$70*12,0,MAX(0,D18-G18-J18))</f>
        <v>310772.12549931416</v>
      </c>
      <c r="J18" s="53">
        <f>IF(OR(A18&gt;'Immobilien-Kalkulation'!$B$70*12,D18&lt;=0),0,MIN(H18,MAX(0,D18-G18)))</f>
        <v>0</v>
      </c>
      <c r="K18">
        <v>15</v>
      </c>
      <c r="L18" s="53">
        <f>IF(K18&gt;'Immobilien-Kalkulation'!$B$70,0,SUMIF($B$4:$B$603,K18,$F$4:$F$603))</f>
        <v>7190.9526119022803</v>
      </c>
      <c r="M18" s="53">
        <f>IF(K18&gt;'Immobilien-Kalkulation'!$B$70,0,SUMIF($B$4:$B$603,K18,$E$4:$E$603)+SUMIF($B$4:$B$603,K18,$H$4:$H$603))</f>
        <v>17159.524273113737</v>
      </c>
      <c r="N18" s="53">
        <f>IF(K18&gt;'Immobilien-Kalkulation'!$B$70,0,SUMIF($B$4:$B$603,K18,$G$4:$G$603))</f>
        <v>9968.5716612114556</v>
      </c>
      <c r="O18" s="53">
        <f>IF(K18&gt;'Immobilien-Kalkulation'!$B$70,0,SUMIF($B$4:$B$603,K18,$J$4:$J$603))</f>
        <v>0</v>
      </c>
      <c r="P18" s="53">
        <f>IF(K18&gt;'Immobilien-Kalkulation'!$B$70,0,IFERROR(INDEX($I$4:$I$603,K18*12),0))</f>
        <v>200027.31545326227</v>
      </c>
      <c r="Q18" t="str">
        <f>IF(K18&lt;='Immobilien-Kalkulation'!$B$70,"ja","—")</f>
        <v>ja</v>
      </c>
    </row>
    <row r="19" spans="1:17" x14ac:dyDescent="0.25">
      <c r="A19">
        <v>16</v>
      </c>
      <c r="B19">
        <f t="shared" si="0"/>
        <v>2</v>
      </c>
      <c r="C19" s="28">
        <f>IF(A19&gt;'Immobilien-Kalkulation'!$B$70*12,0,IF(AND('Immobilien-Kalkulation'!$B$72=1,B19&gt;'Immobilien-Kalkulation'!$B$69),'Immobilien-Kalkulation'!$B$73,'Immobilien-Kalkulation'!$B$65))</f>
        <v>3.5000000000000003E-2</v>
      </c>
      <c r="D19" s="53">
        <f>IF(A19&gt;'Immobilien-Kalkulation'!$B$70*12,0,I18)</f>
        <v>310772.12549931416</v>
      </c>
      <c r="E19" s="53">
        <f>IF(OR(A19&gt;'Immobilien-Kalkulation'!$B$70*12,D19&lt;=0),0,IF(AND('Immobilien-Kalkulation'!$B$72=1,B19&gt;'Immobilien-Kalkulation'!$B$69),MIN(D19*C19/12+'Immobilien-Kalkulation'!$B$74/12,D19*(1+C19/12)),MIN('Immobilien-Kalkulation'!$B$67,D19*(1+C19/12))))</f>
        <v>1429.9603560928113</v>
      </c>
      <c r="F19" s="53">
        <f>IF(OR(A19&gt;'Immobilien-Kalkulation'!$B$70*12,D19&lt;=0),0,D19*C19/12)</f>
        <v>906.41869937299964</v>
      </c>
      <c r="G19" s="53">
        <f>IF(OR(A19&gt;'Immobilien-Kalkulation'!$B$70*12,D19&lt;=0),0,MAX(0,MIN(D19,E19-F19)))</f>
        <v>523.54165671981161</v>
      </c>
      <c r="H19" s="95">
        <v>0</v>
      </c>
      <c r="I19" s="53">
        <f>IF(A19&gt;'Immobilien-Kalkulation'!$B$70*12,0,MAX(0,D19-G19-J19))</f>
        <v>310248.58384259435</v>
      </c>
      <c r="J19" s="53">
        <f>IF(OR(A19&gt;'Immobilien-Kalkulation'!$B$70*12,D19&lt;=0),0,MIN(H19,MAX(0,D19-G19)))</f>
        <v>0</v>
      </c>
      <c r="K19">
        <v>16</v>
      </c>
      <c r="L19" s="53">
        <f>IF(K19&gt;'Immobilien-Kalkulation'!$B$70,0,SUMIF($B$4:$B$603,K19,$F$4:$F$603))</f>
        <v>6836.4008926894376</v>
      </c>
      <c r="M19" s="53">
        <f>IF(K19&gt;'Immobilien-Kalkulation'!$B$70,0,SUMIF($B$4:$B$603,K19,$E$4:$E$603)+SUMIF($B$4:$B$603,K19,$H$4:$H$603))</f>
        <v>17159.524273113737</v>
      </c>
      <c r="N19" s="53">
        <f>IF(K19&gt;'Immobilien-Kalkulation'!$B$70,0,SUMIF($B$4:$B$603,K19,$G$4:$G$603))</f>
        <v>10323.123380424298</v>
      </c>
      <c r="O19" s="53">
        <f>IF(K19&gt;'Immobilien-Kalkulation'!$B$70,0,SUMIF($B$4:$B$603,K19,$J$4:$J$603))</f>
        <v>0</v>
      </c>
      <c r="P19" s="53">
        <f>IF(K19&gt;'Immobilien-Kalkulation'!$B$70,0,IFERROR(INDEX($I$4:$I$603,K19*12),0))</f>
        <v>189704.19207283793</v>
      </c>
      <c r="Q19" t="str">
        <f>IF(K19&lt;='Immobilien-Kalkulation'!$B$70,"ja","—")</f>
        <v>ja</v>
      </c>
    </row>
    <row r="20" spans="1:17" x14ac:dyDescent="0.25">
      <c r="A20">
        <v>17</v>
      </c>
      <c r="B20">
        <f t="shared" si="0"/>
        <v>2</v>
      </c>
      <c r="C20" s="28">
        <f>IF(A20&gt;'Immobilien-Kalkulation'!$B$70*12,0,IF(AND('Immobilien-Kalkulation'!$B$72=1,B20&gt;'Immobilien-Kalkulation'!$B$69),'Immobilien-Kalkulation'!$B$73,'Immobilien-Kalkulation'!$B$65))</f>
        <v>3.5000000000000003E-2</v>
      </c>
      <c r="D20" s="53">
        <f>IF(A20&gt;'Immobilien-Kalkulation'!$B$70*12,0,I19)</f>
        <v>310248.58384259435</v>
      </c>
      <c r="E20" s="53">
        <f>IF(OR(A20&gt;'Immobilien-Kalkulation'!$B$70*12,D20&lt;=0),0,IF(AND('Immobilien-Kalkulation'!$B$72=1,B20&gt;'Immobilien-Kalkulation'!$B$69),MIN(D20*C20/12+'Immobilien-Kalkulation'!$B$74/12,D20*(1+C20/12)),MIN('Immobilien-Kalkulation'!$B$67,D20*(1+C20/12))))</f>
        <v>1429.9603560928113</v>
      </c>
      <c r="F20" s="53">
        <f>IF(OR(A20&gt;'Immobilien-Kalkulation'!$B$70*12,D20&lt;=0),0,D20*C20/12)</f>
        <v>904.8917028742336</v>
      </c>
      <c r="G20" s="53">
        <f>IF(OR(A20&gt;'Immobilien-Kalkulation'!$B$70*12,D20&lt;=0),0,MAX(0,MIN(D20,E20-F20)))</f>
        <v>525.06865321857765</v>
      </c>
      <c r="H20" s="95">
        <v>0</v>
      </c>
      <c r="I20" s="53">
        <f>IF(A20&gt;'Immobilien-Kalkulation'!$B$70*12,0,MAX(0,D20-G20-J20))</f>
        <v>309723.51518937579</v>
      </c>
      <c r="J20" s="53">
        <f>IF(OR(A20&gt;'Immobilien-Kalkulation'!$B$70*12,D20&lt;=0),0,MIN(H20,MAX(0,D20-G20)))</f>
        <v>0</v>
      </c>
      <c r="K20">
        <v>17</v>
      </c>
      <c r="L20" s="53">
        <f>IF(K20&gt;'Immobilien-Kalkulation'!$B$70,0,SUMIF($B$4:$B$603,K20,$F$4:$F$603))</f>
        <v>6469.2388491624379</v>
      </c>
      <c r="M20" s="53">
        <f>IF(K20&gt;'Immobilien-Kalkulation'!$B$70,0,SUMIF($B$4:$B$603,K20,$E$4:$E$603)+SUMIF($B$4:$B$603,K20,$H$4:$H$603))</f>
        <v>17159.524273113737</v>
      </c>
      <c r="N20" s="53">
        <f>IF(K20&gt;'Immobilien-Kalkulation'!$B$70,0,SUMIF($B$4:$B$603,K20,$G$4:$G$603))</f>
        <v>10690.285423951298</v>
      </c>
      <c r="O20" s="53">
        <f>IF(K20&gt;'Immobilien-Kalkulation'!$B$70,0,SUMIF($B$4:$B$603,K20,$J$4:$J$603))</f>
        <v>0</v>
      </c>
      <c r="P20" s="53">
        <f>IF(K20&gt;'Immobilien-Kalkulation'!$B$70,0,IFERROR(INDEX($I$4:$I$603,K20*12),0))</f>
        <v>179013.90664888662</v>
      </c>
      <c r="Q20" t="str">
        <f>IF(K20&lt;='Immobilien-Kalkulation'!$B$70,"ja","—")</f>
        <v>ja</v>
      </c>
    </row>
    <row r="21" spans="1:17" x14ac:dyDescent="0.25">
      <c r="A21">
        <v>18</v>
      </c>
      <c r="B21">
        <f t="shared" si="0"/>
        <v>2</v>
      </c>
      <c r="C21" s="28">
        <f>IF(A21&gt;'Immobilien-Kalkulation'!$B$70*12,0,IF(AND('Immobilien-Kalkulation'!$B$72=1,B21&gt;'Immobilien-Kalkulation'!$B$69),'Immobilien-Kalkulation'!$B$73,'Immobilien-Kalkulation'!$B$65))</f>
        <v>3.5000000000000003E-2</v>
      </c>
      <c r="D21" s="53">
        <f>IF(A21&gt;'Immobilien-Kalkulation'!$B$70*12,0,I20)</f>
        <v>309723.51518937579</v>
      </c>
      <c r="E21" s="53">
        <f>IF(OR(A21&gt;'Immobilien-Kalkulation'!$B$70*12,D21&lt;=0),0,IF(AND('Immobilien-Kalkulation'!$B$72=1,B21&gt;'Immobilien-Kalkulation'!$B$69),MIN(D21*C21/12+'Immobilien-Kalkulation'!$B$74/12,D21*(1+C21/12)),MIN('Immobilien-Kalkulation'!$B$67,D21*(1+C21/12))))</f>
        <v>1429.9603560928113</v>
      </c>
      <c r="F21" s="53">
        <f>IF(OR(A21&gt;'Immobilien-Kalkulation'!$B$70*12,D21&lt;=0),0,D21*C21/12)</f>
        <v>903.36025263567944</v>
      </c>
      <c r="G21" s="53">
        <f>IF(OR(A21&gt;'Immobilien-Kalkulation'!$B$70*12,D21&lt;=0),0,MAX(0,MIN(D21,E21-F21)))</f>
        <v>526.60010345713181</v>
      </c>
      <c r="H21" s="95">
        <v>0</v>
      </c>
      <c r="I21" s="53">
        <f>IF(A21&gt;'Immobilien-Kalkulation'!$B$70*12,0,MAX(0,D21-G21-J21))</f>
        <v>309196.91508591868</v>
      </c>
      <c r="J21" s="53">
        <f>IF(OR(A21&gt;'Immobilien-Kalkulation'!$B$70*12,D21&lt;=0),0,MIN(H21,MAX(0,D21-G21)))</f>
        <v>0</v>
      </c>
      <c r="K21">
        <v>18</v>
      </c>
      <c r="L21" s="53">
        <f>IF(K21&gt;'Immobilien-Kalkulation'!$B$70,0,SUMIF($B$4:$B$603,K21,$F$4:$F$603))</f>
        <v>6089.0179705097653</v>
      </c>
      <c r="M21" s="53">
        <f>IF(K21&gt;'Immobilien-Kalkulation'!$B$70,0,SUMIF($B$4:$B$603,K21,$E$4:$E$603)+SUMIF($B$4:$B$603,K21,$H$4:$H$603))</f>
        <v>17159.524273113737</v>
      </c>
      <c r="N21" s="53">
        <f>IF(K21&gt;'Immobilien-Kalkulation'!$B$70,0,SUMIF($B$4:$B$603,K21,$G$4:$G$603))</f>
        <v>11070.506302603968</v>
      </c>
      <c r="O21" s="53">
        <f>IF(K21&gt;'Immobilien-Kalkulation'!$B$70,0,SUMIF($B$4:$B$603,K21,$J$4:$J$603))</f>
        <v>0</v>
      </c>
      <c r="P21" s="53">
        <f>IF(K21&gt;'Immobilien-Kalkulation'!$B$70,0,IFERROR(INDEX($I$4:$I$603,K21*12),0))</f>
        <v>167943.40034628264</v>
      </c>
      <c r="Q21" t="str">
        <f>IF(K21&lt;='Immobilien-Kalkulation'!$B$70,"ja","—")</f>
        <v>ja</v>
      </c>
    </row>
    <row r="22" spans="1:17" x14ac:dyDescent="0.25">
      <c r="A22">
        <v>19</v>
      </c>
      <c r="B22">
        <f t="shared" si="0"/>
        <v>2</v>
      </c>
      <c r="C22" s="28">
        <f>IF(A22&gt;'Immobilien-Kalkulation'!$B$70*12,0,IF(AND('Immobilien-Kalkulation'!$B$72=1,B22&gt;'Immobilien-Kalkulation'!$B$69),'Immobilien-Kalkulation'!$B$73,'Immobilien-Kalkulation'!$B$65))</f>
        <v>3.5000000000000003E-2</v>
      </c>
      <c r="D22" s="53">
        <f>IF(A22&gt;'Immobilien-Kalkulation'!$B$70*12,0,I21)</f>
        <v>309196.91508591868</v>
      </c>
      <c r="E22" s="53">
        <f>IF(OR(A22&gt;'Immobilien-Kalkulation'!$B$70*12,D22&lt;=0),0,IF(AND('Immobilien-Kalkulation'!$B$72=1,B22&gt;'Immobilien-Kalkulation'!$B$69),MIN(D22*C22/12+'Immobilien-Kalkulation'!$B$74/12,D22*(1+C22/12)),MIN('Immobilien-Kalkulation'!$B$67,D22*(1+C22/12))))</f>
        <v>1429.9603560928113</v>
      </c>
      <c r="F22" s="53">
        <f>IF(OR(A22&gt;'Immobilien-Kalkulation'!$B$70*12,D22&lt;=0),0,D22*C22/12)</f>
        <v>901.82433566726286</v>
      </c>
      <c r="G22" s="53">
        <f>IF(OR(A22&gt;'Immobilien-Kalkulation'!$B$70*12,D22&lt;=0),0,MAX(0,MIN(D22,E22-F22)))</f>
        <v>528.13602042554839</v>
      </c>
      <c r="H22" s="95">
        <v>0</v>
      </c>
      <c r="I22" s="53">
        <f>IF(A22&gt;'Immobilien-Kalkulation'!$B$70*12,0,MAX(0,D22-G22-J22))</f>
        <v>308668.77906549315</v>
      </c>
      <c r="J22" s="53">
        <f>IF(OR(A22&gt;'Immobilien-Kalkulation'!$B$70*12,D22&lt;=0),0,MIN(H22,MAX(0,D22-G22)))</f>
        <v>0</v>
      </c>
      <c r="K22">
        <v>19</v>
      </c>
      <c r="L22" s="53">
        <f>IF(K22&gt;'Immobilien-Kalkulation'!$B$70,0,SUMIF($B$4:$B$603,K22,$F$4:$F$603))</f>
        <v>5695.2737937569818</v>
      </c>
      <c r="M22" s="53">
        <f>IF(K22&gt;'Immobilien-Kalkulation'!$B$70,0,SUMIF($B$4:$B$603,K22,$E$4:$E$603)+SUMIF($B$4:$B$603,K22,$H$4:$H$603))</f>
        <v>17159.524273113737</v>
      </c>
      <c r="N22" s="53">
        <f>IF(K22&gt;'Immobilien-Kalkulation'!$B$70,0,SUMIF($B$4:$B$603,K22,$G$4:$G$603))</f>
        <v>11464.250479356753</v>
      </c>
      <c r="O22" s="53">
        <f>IF(K22&gt;'Immobilien-Kalkulation'!$B$70,0,SUMIF($B$4:$B$603,K22,$J$4:$J$603))</f>
        <v>0</v>
      </c>
      <c r="P22" s="53">
        <f>IF(K22&gt;'Immobilien-Kalkulation'!$B$70,0,IFERROR(INDEX($I$4:$I$603,K22*12),0))</f>
        <v>156479.14986692596</v>
      </c>
      <c r="Q22" t="str">
        <f>IF(K22&lt;='Immobilien-Kalkulation'!$B$70,"ja","—")</f>
        <v>ja</v>
      </c>
    </row>
    <row r="23" spans="1:17" x14ac:dyDescent="0.25">
      <c r="A23">
        <v>20</v>
      </c>
      <c r="B23">
        <f t="shared" si="0"/>
        <v>2</v>
      </c>
      <c r="C23" s="28">
        <f>IF(A23&gt;'Immobilien-Kalkulation'!$B$70*12,0,IF(AND('Immobilien-Kalkulation'!$B$72=1,B23&gt;'Immobilien-Kalkulation'!$B$69),'Immobilien-Kalkulation'!$B$73,'Immobilien-Kalkulation'!$B$65))</f>
        <v>3.5000000000000003E-2</v>
      </c>
      <c r="D23" s="53">
        <f>IF(A23&gt;'Immobilien-Kalkulation'!$B$70*12,0,I22)</f>
        <v>308668.77906549315</v>
      </c>
      <c r="E23" s="53">
        <f>IF(OR(A23&gt;'Immobilien-Kalkulation'!$B$70*12,D23&lt;=0),0,IF(AND('Immobilien-Kalkulation'!$B$72=1,B23&gt;'Immobilien-Kalkulation'!$B$69),MIN(D23*C23/12+'Immobilien-Kalkulation'!$B$74/12,D23*(1+C23/12)),MIN('Immobilien-Kalkulation'!$B$67,D23*(1+C23/12))))</f>
        <v>1429.9603560928113</v>
      </c>
      <c r="F23" s="53">
        <f>IF(OR(A23&gt;'Immobilien-Kalkulation'!$B$70*12,D23&lt;=0),0,D23*C23/12)</f>
        <v>900.2839389410218</v>
      </c>
      <c r="G23" s="53">
        <f>IF(OR(A23&gt;'Immobilien-Kalkulation'!$B$70*12,D23&lt;=0),0,MAX(0,MIN(D23,E23-F23)))</f>
        <v>529.67641715178945</v>
      </c>
      <c r="H23" s="95">
        <v>0</v>
      </c>
      <c r="I23" s="53">
        <f>IF(A23&gt;'Immobilien-Kalkulation'!$B$70*12,0,MAX(0,D23-G23-J23))</f>
        <v>308139.10264834133</v>
      </c>
      <c r="J23" s="53">
        <f>IF(OR(A23&gt;'Immobilien-Kalkulation'!$B$70*12,D23&lt;=0),0,MIN(H23,MAX(0,D23-G23)))</f>
        <v>0</v>
      </c>
      <c r="K23">
        <v>20</v>
      </c>
      <c r="L23" s="53">
        <f>IF(K23&gt;'Immobilien-Kalkulation'!$B$70,0,SUMIF($B$4:$B$603,K23,$F$4:$F$603))</f>
        <v>5287.5253363968823</v>
      </c>
      <c r="M23" s="53">
        <f>IF(K23&gt;'Immobilien-Kalkulation'!$B$70,0,SUMIF($B$4:$B$603,K23,$E$4:$E$603)+SUMIF($B$4:$B$603,K23,$H$4:$H$603))</f>
        <v>17159.524273113737</v>
      </c>
      <c r="N23" s="53">
        <f>IF(K23&gt;'Immobilien-Kalkulation'!$B$70,0,SUMIF($B$4:$B$603,K23,$G$4:$G$603))</f>
        <v>11871.998936716851</v>
      </c>
      <c r="O23" s="53">
        <f>IF(K23&gt;'Immobilien-Kalkulation'!$B$70,0,SUMIF($B$4:$B$603,K23,$J$4:$J$603))</f>
        <v>0</v>
      </c>
      <c r="P23" s="53">
        <f>IF(K23&gt;'Immobilien-Kalkulation'!$B$70,0,IFERROR(INDEX($I$4:$I$603,K23*12),0))</f>
        <v>144607.15093020906</v>
      </c>
      <c r="Q23" t="str">
        <f>IF(K23&lt;='Immobilien-Kalkulation'!$B$70,"ja","—")</f>
        <v>ja</v>
      </c>
    </row>
    <row r="24" spans="1:17" x14ac:dyDescent="0.25">
      <c r="A24">
        <v>21</v>
      </c>
      <c r="B24">
        <f t="shared" si="0"/>
        <v>2</v>
      </c>
      <c r="C24" s="28">
        <f>IF(A24&gt;'Immobilien-Kalkulation'!$B$70*12,0,IF(AND('Immobilien-Kalkulation'!$B$72=1,B24&gt;'Immobilien-Kalkulation'!$B$69),'Immobilien-Kalkulation'!$B$73,'Immobilien-Kalkulation'!$B$65))</f>
        <v>3.5000000000000003E-2</v>
      </c>
      <c r="D24" s="53">
        <f>IF(A24&gt;'Immobilien-Kalkulation'!$B$70*12,0,I23)</f>
        <v>308139.10264834133</v>
      </c>
      <c r="E24" s="53">
        <f>IF(OR(A24&gt;'Immobilien-Kalkulation'!$B$70*12,D24&lt;=0),0,IF(AND('Immobilien-Kalkulation'!$B$72=1,B24&gt;'Immobilien-Kalkulation'!$B$69),MIN(D24*C24/12+'Immobilien-Kalkulation'!$B$74/12,D24*(1+C24/12)),MIN('Immobilien-Kalkulation'!$B$67,D24*(1+C24/12))))</f>
        <v>1429.9603560928113</v>
      </c>
      <c r="F24" s="53">
        <f>IF(OR(A24&gt;'Immobilien-Kalkulation'!$B$70*12,D24&lt;=0),0,D24*C24/12)</f>
        <v>898.73904939099566</v>
      </c>
      <c r="G24" s="53">
        <f>IF(OR(A24&gt;'Immobilien-Kalkulation'!$B$70*12,D24&lt;=0),0,MAX(0,MIN(D24,E24-F24)))</f>
        <v>531.22130670181559</v>
      </c>
      <c r="H24" s="95">
        <v>0</v>
      </c>
      <c r="I24" s="53">
        <f>IF(A24&gt;'Immobilien-Kalkulation'!$B$70*12,0,MAX(0,D24-G24-J24))</f>
        <v>307607.8813416395</v>
      </c>
      <c r="J24" s="53">
        <f>IF(OR(A24&gt;'Immobilien-Kalkulation'!$B$70*12,D24&lt;=0),0,MIN(H24,MAX(0,D24-G24)))</f>
        <v>0</v>
      </c>
      <c r="K24">
        <v>21</v>
      </c>
      <c r="L24" s="53">
        <f>IF(K24&gt;'Immobilien-Kalkulation'!$B$70,0,SUMIF($B$4:$B$603,K24,$F$4:$F$603))</f>
        <v>4865.2745088400616</v>
      </c>
      <c r="M24" s="53">
        <f>IF(K24&gt;'Immobilien-Kalkulation'!$B$70,0,SUMIF($B$4:$B$603,K24,$E$4:$E$603)+SUMIF($B$4:$B$603,K24,$H$4:$H$603))</f>
        <v>17159.524273113737</v>
      </c>
      <c r="N24" s="53">
        <f>IF(K24&gt;'Immobilien-Kalkulation'!$B$70,0,SUMIF($B$4:$B$603,K24,$G$4:$G$603))</f>
        <v>12294.249764273674</v>
      </c>
      <c r="O24" s="53">
        <f>IF(K24&gt;'Immobilien-Kalkulation'!$B$70,0,SUMIF($B$4:$B$603,K24,$J$4:$J$603))</f>
        <v>0</v>
      </c>
      <c r="P24" s="53">
        <f>IF(K24&gt;'Immobilien-Kalkulation'!$B$70,0,IFERROR(INDEX($I$4:$I$603,K24*12),0))</f>
        <v>132312.90116593539</v>
      </c>
      <c r="Q24" t="str">
        <f>IF(K24&lt;='Immobilien-Kalkulation'!$B$70,"ja","—")</f>
        <v>ja</v>
      </c>
    </row>
    <row r="25" spans="1:17" x14ac:dyDescent="0.25">
      <c r="A25">
        <v>22</v>
      </c>
      <c r="B25">
        <f t="shared" si="0"/>
        <v>2</v>
      </c>
      <c r="C25" s="28">
        <f>IF(A25&gt;'Immobilien-Kalkulation'!$B$70*12,0,IF(AND('Immobilien-Kalkulation'!$B$72=1,B25&gt;'Immobilien-Kalkulation'!$B$69),'Immobilien-Kalkulation'!$B$73,'Immobilien-Kalkulation'!$B$65))</f>
        <v>3.5000000000000003E-2</v>
      </c>
      <c r="D25" s="53">
        <f>IF(A25&gt;'Immobilien-Kalkulation'!$B$70*12,0,I24)</f>
        <v>307607.8813416395</v>
      </c>
      <c r="E25" s="53">
        <f>IF(OR(A25&gt;'Immobilien-Kalkulation'!$B$70*12,D25&lt;=0),0,IF(AND('Immobilien-Kalkulation'!$B$72=1,B25&gt;'Immobilien-Kalkulation'!$B$69),MIN(D25*C25/12+'Immobilien-Kalkulation'!$B$74/12,D25*(1+C25/12)),MIN('Immobilien-Kalkulation'!$B$67,D25*(1+C25/12))))</f>
        <v>1429.9603560928113</v>
      </c>
      <c r="F25" s="53">
        <f>IF(OR(A25&gt;'Immobilien-Kalkulation'!$B$70*12,D25&lt;=0),0,D25*C25/12)</f>
        <v>897.18965391311531</v>
      </c>
      <c r="G25" s="53">
        <f>IF(OR(A25&gt;'Immobilien-Kalkulation'!$B$70*12,D25&lt;=0),0,MAX(0,MIN(D25,E25-F25)))</f>
        <v>532.77070217969595</v>
      </c>
      <c r="H25" s="95">
        <v>0</v>
      </c>
      <c r="I25" s="53">
        <f>IF(A25&gt;'Immobilien-Kalkulation'!$B$70*12,0,MAX(0,D25-G25-J25))</f>
        <v>307075.1106394598</v>
      </c>
      <c r="J25" s="53">
        <f>IF(OR(A25&gt;'Immobilien-Kalkulation'!$B$70*12,D25&lt;=0),0,MIN(H25,MAX(0,D25-G25)))</f>
        <v>0</v>
      </c>
      <c r="K25">
        <v>22</v>
      </c>
      <c r="L25" s="53">
        <f>IF(K25&gt;'Immobilien-Kalkulation'!$B$70,0,SUMIF($B$4:$B$603,K25,$F$4:$F$603))</f>
        <v>4428.0055059681299</v>
      </c>
      <c r="M25" s="53">
        <f>IF(K25&gt;'Immobilien-Kalkulation'!$B$70,0,SUMIF($B$4:$B$603,K25,$E$4:$E$603)+SUMIF($B$4:$B$603,K25,$H$4:$H$603))</f>
        <v>17159.524273113737</v>
      </c>
      <c r="N25" s="53">
        <f>IF(K25&gt;'Immobilien-Kalkulation'!$B$70,0,SUMIF($B$4:$B$603,K25,$G$4:$G$603))</f>
        <v>12731.518767145604</v>
      </c>
      <c r="O25" s="53">
        <f>IF(K25&gt;'Immobilien-Kalkulation'!$B$70,0,SUMIF($B$4:$B$603,K25,$J$4:$J$603))</f>
        <v>0</v>
      </c>
      <c r="P25" s="53">
        <f>IF(K25&gt;'Immobilien-Kalkulation'!$B$70,0,IFERROR(INDEX($I$4:$I$603,K25*12),0))</f>
        <v>119581.38239878978</v>
      </c>
      <c r="Q25" t="str">
        <f>IF(K25&lt;='Immobilien-Kalkulation'!$B$70,"ja","—")</f>
        <v>ja</v>
      </c>
    </row>
    <row r="26" spans="1:17" x14ac:dyDescent="0.25">
      <c r="A26">
        <v>23</v>
      </c>
      <c r="B26">
        <f t="shared" si="0"/>
        <v>2</v>
      </c>
      <c r="C26" s="28">
        <f>IF(A26&gt;'Immobilien-Kalkulation'!$B$70*12,0,IF(AND('Immobilien-Kalkulation'!$B$72=1,B26&gt;'Immobilien-Kalkulation'!$B$69),'Immobilien-Kalkulation'!$B$73,'Immobilien-Kalkulation'!$B$65))</f>
        <v>3.5000000000000003E-2</v>
      </c>
      <c r="D26" s="53">
        <f>IF(A26&gt;'Immobilien-Kalkulation'!$B$70*12,0,I25)</f>
        <v>307075.1106394598</v>
      </c>
      <c r="E26" s="53">
        <f>IF(OR(A26&gt;'Immobilien-Kalkulation'!$B$70*12,D26&lt;=0),0,IF(AND('Immobilien-Kalkulation'!$B$72=1,B26&gt;'Immobilien-Kalkulation'!$B$69),MIN(D26*C26/12+'Immobilien-Kalkulation'!$B$74/12,D26*(1+C26/12)),MIN('Immobilien-Kalkulation'!$B$67,D26*(1+C26/12))))</f>
        <v>1429.9603560928113</v>
      </c>
      <c r="F26" s="53">
        <f>IF(OR(A26&gt;'Immobilien-Kalkulation'!$B$70*12,D26&lt;=0),0,D26*C26/12)</f>
        <v>895.63573936509113</v>
      </c>
      <c r="G26" s="53">
        <f>IF(OR(A26&gt;'Immobilien-Kalkulation'!$B$70*12,D26&lt;=0),0,MAX(0,MIN(D26,E26-F26)))</f>
        <v>534.32461672772013</v>
      </c>
      <c r="H26" s="95">
        <v>0</v>
      </c>
      <c r="I26" s="53">
        <f>IF(A26&gt;'Immobilien-Kalkulation'!$B$70*12,0,MAX(0,D26-G26-J26))</f>
        <v>306540.78602273209</v>
      </c>
      <c r="J26" s="53">
        <f>IF(OR(A26&gt;'Immobilien-Kalkulation'!$B$70*12,D26&lt;=0),0,MIN(H26,MAX(0,D26-G26)))</f>
        <v>0</v>
      </c>
      <c r="K26">
        <v>23</v>
      </c>
      <c r="L26" s="53">
        <f>IF(K26&gt;'Immobilien-Kalkulation'!$B$70,0,SUMIF($B$4:$B$603,K26,$F$4:$F$603))</f>
        <v>3975.1841770463234</v>
      </c>
      <c r="M26" s="53">
        <f>IF(K26&gt;'Immobilien-Kalkulation'!$B$70,0,SUMIF($B$4:$B$603,K26,$E$4:$E$603)+SUMIF($B$4:$B$603,K26,$H$4:$H$603))</f>
        <v>17159.524273113737</v>
      </c>
      <c r="N26" s="53">
        <f>IF(K26&gt;'Immobilien-Kalkulation'!$B$70,0,SUMIF($B$4:$B$603,K26,$G$4:$G$603))</f>
        <v>13184.340096067413</v>
      </c>
      <c r="O26" s="53">
        <f>IF(K26&gt;'Immobilien-Kalkulation'!$B$70,0,SUMIF($B$4:$B$603,K26,$J$4:$J$603))</f>
        <v>0</v>
      </c>
      <c r="P26" s="53">
        <f>IF(K26&gt;'Immobilien-Kalkulation'!$B$70,0,IFERROR(INDEX($I$4:$I$603,K26*12),0))</f>
        <v>106397.04230272236</v>
      </c>
      <c r="Q26" t="str">
        <f>IF(K26&lt;='Immobilien-Kalkulation'!$B$70,"ja","—")</f>
        <v>ja</v>
      </c>
    </row>
    <row r="27" spans="1:17" x14ac:dyDescent="0.25">
      <c r="A27">
        <v>24</v>
      </c>
      <c r="B27">
        <f t="shared" si="0"/>
        <v>2</v>
      </c>
      <c r="C27" s="28">
        <f>IF(A27&gt;'Immobilien-Kalkulation'!$B$70*12,0,IF(AND('Immobilien-Kalkulation'!$B$72=1,B27&gt;'Immobilien-Kalkulation'!$B$69),'Immobilien-Kalkulation'!$B$73,'Immobilien-Kalkulation'!$B$65))</f>
        <v>3.5000000000000003E-2</v>
      </c>
      <c r="D27" s="53">
        <f>IF(A27&gt;'Immobilien-Kalkulation'!$B$70*12,0,I26)</f>
        <v>306540.78602273209</v>
      </c>
      <c r="E27" s="53">
        <f>IF(OR(A27&gt;'Immobilien-Kalkulation'!$B$70*12,D27&lt;=0),0,IF(AND('Immobilien-Kalkulation'!$B$72=1,B27&gt;'Immobilien-Kalkulation'!$B$69),MIN(D27*C27/12+'Immobilien-Kalkulation'!$B$74/12,D27*(1+C27/12)),MIN('Immobilien-Kalkulation'!$B$67,D27*(1+C27/12))))</f>
        <v>1429.9603560928113</v>
      </c>
      <c r="F27" s="53">
        <f>IF(OR(A27&gt;'Immobilien-Kalkulation'!$B$70*12,D27&lt;=0),0,D27*C27/12)</f>
        <v>894.07729256630194</v>
      </c>
      <c r="G27" s="53">
        <f>IF(OR(A27&gt;'Immobilien-Kalkulation'!$B$70*12,D27&lt;=0),0,MAX(0,MIN(D27,E27-F27)))</f>
        <v>535.88306352650932</v>
      </c>
      <c r="H27" s="95">
        <v>0</v>
      </c>
      <c r="I27" s="53">
        <f>IF(A27&gt;'Immobilien-Kalkulation'!$B$70*12,0,MAX(0,D27-G27-J27))</f>
        <v>306004.90295920556</v>
      </c>
      <c r="J27" s="53">
        <f>IF(OR(A27&gt;'Immobilien-Kalkulation'!$B$70*12,D27&lt;=0),0,MIN(H27,MAX(0,D27-G27)))</f>
        <v>0</v>
      </c>
      <c r="K27">
        <v>24</v>
      </c>
      <c r="L27" s="53">
        <f>IF(K27&gt;'Immobilien-Kalkulation'!$B$70,0,SUMIF($B$4:$B$603,K27,$F$4:$F$603))</f>
        <v>3506.2573732258206</v>
      </c>
      <c r="M27" s="53">
        <f>IF(K27&gt;'Immobilien-Kalkulation'!$B$70,0,SUMIF($B$4:$B$603,K27,$E$4:$E$603)+SUMIF($B$4:$B$603,K27,$H$4:$H$603))</f>
        <v>17159.524273113737</v>
      </c>
      <c r="N27" s="53">
        <f>IF(K27&gt;'Immobilien-Kalkulation'!$B$70,0,SUMIF($B$4:$B$603,K27,$G$4:$G$603))</f>
        <v>13653.266899887913</v>
      </c>
      <c r="O27" s="53">
        <f>IF(K27&gt;'Immobilien-Kalkulation'!$B$70,0,SUMIF($B$4:$B$603,K27,$J$4:$J$603))</f>
        <v>0</v>
      </c>
      <c r="P27" s="53">
        <f>IF(K27&gt;'Immobilien-Kalkulation'!$B$70,0,IFERROR(INDEX($I$4:$I$603,K27*12),0))</f>
        <v>92743.77540283445</v>
      </c>
      <c r="Q27" t="str">
        <f>IF(K27&lt;='Immobilien-Kalkulation'!$B$70,"ja","—")</f>
        <v>ja</v>
      </c>
    </row>
    <row r="28" spans="1:17" x14ac:dyDescent="0.25">
      <c r="A28">
        <v>25</v>
      </c>
      <c r="B28">
        <f t="shared" si="0"/>
        <v>3</v>
      </c>
      <c r="C28" s="28">
        <f>IF(A28&gt;'Immobilien-Kalkulation'!$B$70*12,0,IF(AND('Immobilien-Kalkulation'!$B$72=1,B28&gt;'Immobilien-Kalkulation'!$B$69),'Immobilien-Kalkulation'!$B$73,'Immobilien-Kalkulation'!$B$65))</f>
        <v>3.5000000000000003E-2</v>
      </c>
      <c r="D28" s="53">
        <f>IF(A28&gt;'Immobilien-Kalkulation'!$B$70*12,0,I27)</f>
        <v>306004.90295920556</v>
      </c>
      <c r="E28" s="53">
        <f>IF(OR(A28&gt;'Immobilien-Kalkulation'!$B$70*12,D28&lt;=0),0,IF(AND('Immobilien-Kalkulation'!$B$72=1,B28&gt;'Immobilien-Kalkulation'!$B$69),MIN(D28*C28/12+'Immobilien-Kalkulation'!$B$74/12,D28*(1+C28/12)),MIN('Immobilien-Kalkulation'!$B$67,D28*(1+C28/12))))</f>
        <v>1429.9603560928113</v>
      </c>
      <c r="F28" s="53">
        <f>IF(OR(A28&gt;'Immobilien-Kalkulation'!$B$70*12,D28&lt;=0),0,D28*C28/12)</f>
        <v>892.51430029768289</v>
      </c>
      <c r="G28" s="53">
        <f>IF(OR(A28&gt;'Immobilien-Kalkulation'!$B$70*12,D28&lt;=0),0,MAX(0,MIN(D28,E28-F28)))</f>
        <v>537.44605579512836</v>
      </c>
      <c r="H28" s="95">
        <v>0</v>
      </c>
      <c r="I28" s="53">
        <f>IF(A28&gt;'Immobilien-Kalkulation'!$B$70*12,0,MAX(0,D28-G28-J28))</f>
        <v>305467.45690341044</v>
      </c>
      <c r="J28" s="53">
        <f>IF(OR(A28&gt;'Immobilien-Kalkulation'!$B$70*12,D28&lt;=0),0,MIN(H28,MAX(0,D28-G28)))</f>
        <v>0</v>
      </c>
      <c r="K28">
        <v>25</v>
      </c>
      <c r="L28" s="53">
        <f>IF(K28&gt;'Immobilien-Kalkulation'!$B$70,0,SUMIF($B$4:$B$603,K28,$F$4:$F$603))</f>
        <v>3020.6522718387314</v>
      </c>
      <c r="M28" s="53">
        <f>IF(K28&gt;'Immobilien-Kalkulation'!$B$70,0,SUMIF($B$4:$B$603,K28,$E$4:$E$603)+SUMIF($B$4:$B$603,K28,$H$4:$H$603))</f>
        <v>17159.524273113737</v>
      </c>
      <c r="N28" s="53">
        <f>IF(K28&gt;'Immobilien-Kalkulation'!$B$70,0,SUMIF($B$4:$B$603,K28,$G$4:$G$603))</f>
        <v>14138.872001275005</v>
      </c>
      <c r="O28" s="53">
        <f>IF(K28&gt;'Immobilien-Kalkulation'!$B$70,0,SUMIF($B$4:$B$603,K28,$J$4:$J$603))</f>
        <v>0</v>
      </c>
      <c r="P28" s="53">
        <f>IF(K28&gt;'Immobilien-Kalkulation'!$B$70,0,IFERROR(INDEX($I$4:$I$603,K28*12),0))</f>
        <v>78604.903401559452</v>
      </c>
      <c r="Q28" t="str">
        <f>IF(K28&lt;='Immobilien-Kalkulation'!$B$70,"ja","—")</f>
        <v>ja</v>
      </c>
    </row>
    <row r="29" spans="1:17" x14ac:dyDescent="0.25">
      <c r="A29">
        <v>26</v>
      </c>
      <c r="B29">
        <f t="shared" si="0"/>
        <v>3</v>
      </c>
      <c r="C29" s="28">
        <f>IF(A29&gt;'Immobilien-Kalkulation'!$B$70*12,0,IF(AND('Immobilien-Kalkulation'!$B$72=1,B29&gt;'Immobilien-Kalkulation'!$B$69),'Immobilien-Kalkulation'!$B$73,'Immobilien-Kalkulation'!$B$65))</f>
        <v>3.5000000000000003E-2</v>
      </c>
      <c r="D29" s="53">
        <f>IF(A29&gt;'Immobilien-Kalkulation'!$B$70*12,0,I28)</f>
        <v>305467.45690341044</v>
      </c>
      <c r="E29" s="53">
        <f>IF(OR(A29&gt;'Immobilien-Kalkulation'!$B$70*12,D29&lt;=0),0,IF(AND('Immobilien-Kalkulation'!$B$72=1,B29&gt;'Immobilien-Kalkulation'!$B$69),MIN(D29*C29/12+'Immobilien-Kalkulation'!$B$74/12,D29*(1+C29/12)),MIN('Immobilien-Kalkulation'!$B$67,D29*(1+C29/12))))</f>
        <v>1429.9603560928113</v>
      </c>
      <c r="F29" s="53">
        <f>IF(OR(A29&gt;'Immobilien-Kalkulation'!$B$70*12,D29&lt;=0),0,D29*C29/12)</f>
        <v>890.94674930161375</v>
      </c>
      <c r="G29" s="53">
        <f>IF(OR(A29&gt;'Immobilien-Kalkulation'!$B$70*12,D29&lt;=0),0,MAX(0,MIN(D29,E29-F29)))</f>
        <v>539.0136067911975</v>
      </c>
      <c r="H29" s="95">
        <v>0</v>
      </c>
      <c r="I29" s="53">
        <f>IF(A29&gt;'Immobilien-Kalkulation'!$B$70*12,0,MAX(0,D29-G29-J29))</f>
        <v>304928.44329661923</v>
      </c>
      <c r="J29" s="53">
        <f>IF(OR(A29&gt;'Immobilien-Kalkulation'!$B$70*12,D29&lt;=0),0,MIN(H29,MAX(0,D29-G29)))</f>
        <v>0</v>
      </c>
      <c r="K29">
        <v>26</v>
      </c>
      <c r="L29" s="53">
        <f>IF(K29&gt;'Immobilien-Kalkulation'!$B$70,0,SUMIF($B$4:$B$603,K29,$F$4:$F$603))</f>
        <v>2517.7756766602843</v>
      </c>
      <c r="M29" s="53">
        <f>IF(K29&gt;'Immobilien-Kalkulation'!$B$70,0,SUMIF($B$4:$B$603,K29,$E$4:$E$603)+SUMIF($B$4:$B$603,K29,$H$4:$H$603))</f>
        <v>17159.524273113737</v>
      </c>
      <c r="N29" s="53">
        <f>IF(K29&gt;'Immobilien-Kalkulation'!$B$70,0,SUMIF($B$4:$B$603,K29,$G$4:$G$603))</f>
        <v>14641.74859645345</v>
      </c>
      <c r="O29" s="53">
        <f>IF(K29&gt;'Immobilien-Kalkulation'!$B$70,0,SUMIF($B$4:$B$603,K29,$J$4:$J$603))</f>
        <v>0</v>
      </c>
      <c r="P29" s="53">
        <f>IF(K29&gt;'Immobilien-Kalkulation'!$B$70,0,IFERROR(INDEX($I$4:$I$603,K29*12),0))</f>
        <v>63963.154805106002</v>
      </c>
      <c r="Q29" t="str">
        <f>IF(K29&lt;='Immobilien-Kalkulation'!$B$70,"ja","—")</f>
        <v>ja</v>
      </c>
    </row>
    <row r="30" spans="1:17" x14ac:dyDescent="0.25">
      <c r="A30">
        <v>27</v>
      </c>
      <c r="B30">
        <f t="shared" si="0"/>
        <v>3</v>
      </c>
      <c r="C30" s="28">
        <f>IF(A30&gt;'Immobilien-Kalkulation'!$B$70*12,0,IF(AND('Immobilien-Kalkulation'!$B$72=1,B30&gt;'Immobilien-Kalkulation'!$B$69),'Immobilien-Kalkulation'!$B$73,'Immobilien-Kalkulation'!$B$65))</f>
        <v>3.5000000000000003E-2</v>
      </c>
      <c r="D30" s="53">
        <f>IF(A30&gt;'Immobilien-Kalkulation'!$B$70*12,0,I29)</f>
        <v>304928.44329661923</v>
      </c>
      <c r="E30" s="53">
        <f>IF(OR(A30&gt;'Immobilien-Kalkulation'!$B$70*12,D30&lt;=0),0,IF(AND('Immobilien-Kalkulation'!$B$72=1,B30&gt;'Immobilien-Kalkulation'!$B$69),MIN(D30*C30/12+'Immobilien-Kalkulation'!$B$74/12,D30*(1+C30/12)),MIN('Immobilien-Kalkulation'!$B$67,D30*(1+C30/12))))</f>
        <v>1429.9603560928113</v>
      </c>
      <c r="F30" s="53">
        <f>IF(OR(A30&gt;'Immobilien-Kalkulation'!$B$70*12,D30&lt;=0),0,D30*C30/12)</f>
        <v>889.37462628180617</v>
      </c>
      <c r="G30" s="53">
        <f>IF(OR(A30&gt;'Immobilien-Kalkulation'!$B$70*12,D30&lt;=0),0,MAX(0,MIN(D30,E30-F30)))</f>
        <v>540.58572981100508</v>
      </c>
      <c r="H30" s="95">
        <v>0</v>
      </c>
      <c r="I30" s="53">
        <f>IF(A30&gt;'Immobilien-Kalkulation'!$B$70*12,0,MAX(0,D30-G30-J30))</f>
        <v>304387.85756680823</v>
      </c>
      <c r="J30" s="53">
        <f>IF(OR(A30&gt;'Immobilien-Kalkulation'!$B$70*12,D30&lt;=0),0,MIN(H30,MAX(0,D30-G30)))</f>
        <v>0</v>
      </c>
      <c r="K30">
        <v>27</v>
      </c>
      <c r="L30" s="53">
        <f>IF(K30&gt;'Immobilien-Kalkulation'!$B$70,0,SUMIF($B$4:$B$603,K30,$F$4:$F$603))</f>
        <v>1997.0132932834949</v>
      </c>
      <c r="M30" s="53">
        <f>IF(K30&gt;'Immobilien-Kalkulation'!$B$70,0,SUMIF($B$4:$B$603,K30,$E$4:$E$603)+SUMIF($B$4:$B$603,K30,$H$4:$H$603))</f>
        <v>17159.524273113737</v>
      </c>
      <c r="N30" s="53">
        <f>IF(K30&gt;'Immobilien-Kalkulation'!$B$70,0,SUMIF($B$4:$B$603,K30,$G$4:$G$603))</f>
        <v>15162.51097983024</v>
      </c>
      <c r="O30" s="53">
        <f>IF(K30&gt;'Immobilien-Kalkulation'!$B$70,0,SUMIF($B$4:$B$603,K30,$J$4:$J$603))</f>
        <v>0</v>
      </c>
      <c r="P30" s="53">
        <f>IF(K30&gt;'Immobilien-Kalkulation'!$B$70,0,IFERROR(INDEX($I$4:$I$603,K30*12),0))</f>
        <v>48800.643825275765</v>
      </c>
      <c r="Q30" t="str">
        <f>IF(K30&lt;='Immobilien-Kalkulation'!$B$70,"ja","—")</f>
        <v>ja</v>
      </c>
    </row>
    <row r="31" spans="1:17" x14ac:dyDescent="0.25">
      <c r="A31">
        <v>28</v>
      </c>
      <c r="B31">
        <f t="shared" si="0"/>
        <v>3</v>
      </c>
      <c r="C31" s="28">
        <f>IF(A31&gt;'Immobilien-Kalkulation'!$B$70*12,0,IF(AND('Immobilien-Kalkulation'!$B$72=1,B31&gt;'Immobilien-Kalkulation'!$B$69),'Immobilien-Kalkulation'!$B$73,'Immobilien-Kalkulation'!$B$65))</f>
        <v>3.5000000000000003E-2</v>
      </c>
      <c r="D31" s="53">
        <f>IF(A31&gt;'Immobilien-Kalkulation'!$B$70*12,0,I30)</f>
        <v>304387.85756680823</v>
      </c>
      <c r="E31" s="53">
        <f>IF(OR(A31&gt;'Immobilien-Kalkulation'!$B$70*12,D31&lt;=0),0,IF(AND('Immobilien-Kalkulation'!$B$72=1,B31&gt;'Immobilien-Kalkulation'!$B$69),MIN(D31*C31/12+'Immobilien-Kalkulation'!$B$74/12,D31*(1+C31/12)),MIN('Immobilien-Kalkulation'!$B$67,D31*(1+C31/12))))</f>
        <v>1429.9603560928113</v>
      </c>
      <c r="F31" s="53">
        <f>IF(OR(A31&gt;'Immobilien-Kalkulation'!$B$70*12,D31&lt;=0),0,D31*C31/12)</f>
        <v>887.79791790319075</v>
      </c>
      <c r="G31" s="53">
        <f>IF(OR(A31&gt;'Immobilien-Kalkulation'!$B$70*12,D31&lt;=0),0,MAX(0,MIN(D31,E31-F31)))</f>
        <v>542.1624381896205</v>
      </c>
      <c r="H31" s="95">
        <v>0</v>
      </c>
      <c r="I31" s="53">
        <f>IF(A31&gt;'Immobilien-Kalkulation'!$B$70*12,0,MAX(0,D31-G31-J31))</f>
        <v>303845.69512861862</v>
      </c>
      <c r="J31" s="53">
        <f>IF(OR(A31&gt;'Immobilien-Kalkulation'!$B$70*12,D31&lt;=0),0,MIN(H31,MAX(0,D31-G31)))</f>
        <v>0</v>
      </c>
      <c r="K31">
        <v>28</v>
      </c>
      <c r="L31" s="53">
        <f>IF(K31&gt;'Immobilien-Kalkulation'!$B$70,0,SUMIF($B$4:$B$603,K31,$F$4:$F$603))</f>
        <v>1457.7289787211121</v>
      </c>
      <c r="M31" s="53">
        <f>IF(K31&gt;'Immobilien-Kalkulation'!$B$70,0,SUMIF($B$4:$B$603,K31,$E$4:$E$603)+SUMIF($B$4:$B$603,K31,$H$4:$H$603))</f>
        <v>17159.524273113737</v>
      </c>
      <c r="N31" s="53">
        <f>IF(K31&gt;'Immobilien-Kalkulation'!$B$70,0,SUMIF($B$4:$B$603,K31,$G$4:$G$603))</f>
        <v>15701.795294392625</v>
      </c>
      <c r="O31" s="53">
        <f>IF(K31&gt;'Immobilien-Kalkulation'!$B$70,0,SUMIF($B$4:$B$603,K31,$J$4:$J$603))</f>
        <v>0</v>
      </c>
      <c r="P31" s="53">
        <f>IF(K31&gt;'Immobilien-Kalkulation'!$B$70,0,IFERROR(INDEX($I$4:$I$603,K31*12),0))</f>
        <v>33098.848530883144</v>
      </c>
      <c r="Q31" t="str">
        <f>IF(K31&lt;='Immobilien-Kalkulation'!$B$70,"ja","—")</f>
        <v>ja</v>
      </c>
    </row>
    <row r="32" spans="1:17" x14ac:dyDescent="0.25">
      <c r="A32">
        <v>29</v>
      </c>
      <c r="B32">
        <f t="shared" si="0"/>
        <v>3</v>
      </c>
      <c r="C32" s="28">
        <f>IF(A32&gt;'Immobilien-Kalkulation'!$B$70*12,0,IF(AND('Immobilien-Kalkulation'!$B$72=1,B32&gt;'Immobilien-Kalkulation'!$B$69),'Immobilien-Kalkulation'!$B$73,'Immobilien-Kalkulation'!$B$65))</f>
        <v>3.5000000000000003E-2</v>
      </c>
      <c r="D32" s="53">
        <f>IF(A32&gt;'Immobilien-Kalkulation'!$B$70*12,0,I31)</f>
        <v>303845.69512861862</v>
      </c>
      <c r="E32" s="53">
        <f>IF(OR(A32&gt;'Immobilien-Kalkulation'!$B$70*12,D32&lt;=0),0,IF(AND('Immobilien-Kalkulation'!$B$72=1,B32&gt;'Immobilien-Kalkulation'!$B$69),MIN(D32*C32/12+'Immobilien-Kalkulation'!$B$74/12,D32*(1+C32/12)),MIN('Immobilien-Kalkulation'!$B$67,D32*(1+C32/12))))</f>
        <v>1429.9603560928113</v>
      </c>
      <c r="F32" s="53">
        <f>IF(OR(A32&gt;'Immobilien-Kalkulation'!$B$70*12,D32&lt;=0),0,D32*C32/12)</f>
        <v>886.21661079180433</v>
      </c>
      <c r="G32" s="53">
        <f>IF(OR(A32&gt;'Immobilien-Kalkulation'!$B$70*12,D32&lt;=0),0,MAX(0,MIN(D32,E32-F32)))</f>
        <v>543.74374530100692</v>
      </c>
      <c r="H32" s="95">
        <v>0</v>
      </c>
      <c r="I32" s="53">
        <f>IF(A32&gt;'Immobilien-Kalkulation'!$B$70*12,0,MAX(0,D32-G32-J32))</f>
        <v>303301.95138331759</v>
      </c>
      <c r="J32" s="53">
        <f>IF(OR(A32&gt;'Immobilien-Kalkulation'!$B$70*12,D32&lt;=0),0,MIN(H32,MAX(0,D32-G32)))</f>
        <v>0</v>
      </c>
      <c r="K32">
        <v>29</v>
      </c>
      <c r="L32" s="53">
        <f>IF(K32&gt;'Immobilien-Kalkulation'!$B$70,0,SUMIF($B$4:$B$603,K32,$F$4:$F$603))</f>
        <v>899.26396431818921</v>
      </c>
      <c r="M32" s="53">
        <f>IF(K32&gt;'Immobilien-Kalkulation'!$B$70,0,SUMIF($B$4:$B$603,K32,$E$4:$E$603)+SUMIF($B$4:$B$603,K32,$H$4:$H$603))</f>
        <v>17159.524273113737</v>
      </c>
      <c r="N32" s="53">
        <f>IF(K32&gt;'Immobilien-Kalkulation'!$B$70,0,SUMIF($B$4:$B$603,K32,$G$4:$G$603))</f>
        <v>16260.260308795545</v>
      </c>
      <c r="O32" s="53">
        <f>IF(K32&gt;'Immobilien-Kalkulation'!$B$70,0,SUMIF($B$4:$B$603,K32,$J$4:$J$603))</f>
        <v>0</v>
      </c>
      <c r="P32" s="53">
        <f>IF(K32&gt;'Immobilien-Kalkulation'!$B$70,0,IFERROR(INDEX($I$4:$I$603,K32*12),0))</f>
        <v>16838.588222087601</v>
      </c>
      <c r="Q32" t="str">
        <f>IF(K32&lt;='Immobilien-Kalkulation'!$B$70,"ja","—")</f>
        <v>ja</v>
      </c>
    </row>
    <row r="33" spans="1:17" x14ac:dyDescent="0.25">
      <c r="A33">
        <v>30</v>
      </c>
      <c r="B33">
        <f t="shared" si="0"/>
        <v>3</v>
      </c>
      <c r="C33" s="28">
        <f>IF(A33&gt;'Immobilien-Kalkulation'!$B$70*12,0,IF(AND('Immobilien-Kalkulation'!$B$72=1,B33&gt;'Immobilien-Kalkulation'!$B$69),'Immobilien-Kalkulation'!$B$73,'Immobilien-Kalkulation'!$B$65))</f>
        <v>3.5000000000000003E-2</v>
      </c>
      <c r="D33" s="53">
        <f>IF(A33&gt;'Immobilien-Kalkulation'!$B$70*12,0,I32)</f>
        <v>303301.95138331759</v>
      </c>
      <c r="E33" s="53">
        <f>IF(OR(A33&gt;'Immobilien-Kalkulation'!$B$70*12,D33&lt;=0),0,IF(AND('Immobilien-Kalkulation'!$B$72=1,B33&gt;'Immobilien-Kalkulation'!$B$69),MIN(D33*C33/12+'Immobilien-Kalkulation'!$B$74/12,D33*(1+C33/12)),MIN('Immobilien-Kalkulation'!$B$67,D33*(1+C33/12))))</f>
        <v>1429.9603560928113</v>
      </c>
      <c r="F33" s="53">
        <f>IF(OR(A33&gt;'Immobilien-Kalkulation'!$B$70*12,D33&lt;=0),0,D33*C33/12)</f>
        <v>884.63069153467632</v>
      </c>
      <c r="G33" s="53">
        <f>IF(OR(A33&gt;'Immobilien-Kalkulation'!$B$70*12,D33&lt;=0),0,MAX(0,MIN(D33,E33-F33)))</f>
        <v>545.32966455813494</v>
      </c>
      <c r="H33" s="95">
        <v>0</v>
      </c>
      <c r="I33" s="53">
        <f>IF(A33&gt;'Immobilien-Kalkulation'!$B$70*12,0,MAX(0,D33-G33-J33))</f>
        <v>302756.62171875947</v>
      </c>
      <c r="J33" s="53">
        <f>IF(OR(A33&gt;'Immobilien-Kalkulation'!$B$70*12,D33&lt;=0),0,MIN(H33,MAX(0,D33-G33)))</f>
        <v>0</v>
      </c>
      <c r="K33">
        <v>30</v>
      </c>
      <c r="L33" s="53">
        <f>IF(K33&gt;'Immobilien-Kalkulation'!$B$70,0,SUMIF($B$4:$B$603,K33,$F$4:$F$603))</f>
        <v>320.93605102602658</v>
      </c>
      <c r="M33" s="53">
        <f>IF(K33&gt;'Immobilien-Kalkulation'!$B$70,0,SUMIF($B$4:$B$603,K33,$E$4:$E$603)+SUMIF($B$4:$B$603,K33,$H$4:$H$603))</f>
        <v>17159.524273113631</v>
      </c>
      <c r="N33" s="53">
        <f>IF(K33&gt;'Immobilien-Kalkulation'!$B$70,0,SUMIF($B$4:$B$603,K33,$G$4:$G$603))</f>
        <v>16838.588222087601</v>
      </c>
      <c r="O33" s="53">
        <f>IF(K33&gt;'Immobilien-Kalkulation'!$B$70,0,SUMIF($B$4:$B$603,K33,$J$4:$J$603))</f>
        <v>0</v>
      </c>
      <c r="P33" s="53">
        <f>IF(K33&gt;'Immobilien-Kalkulation'!$B$70,0,IFERROR(INDEX($I$4:$I$603,K33*12),0))</f>
        <v>0</v>
      </c>
      <c r="Q33" t="str">
        <f>IF(K33&lt;='Immobilien-Kalkulation'!$B$70,"ja","—")</f>
        <v>ja</v>
      </c>
    </row>
    <row r="34" spans="1:17" x14ac:dyDescent="0.25">
      <c r="A34">
        <v>31</v>
      </c>
      <c r="B34">
        <f t="shared" si="0"/>
        <v>3</v>
      </c>
      <c r="C34" s="28">
        <f>IF(A34&gt;'Immobilien-Kalkulation'!$B$70*12,0,IF(AND('Immobilien-Kalkulation'!$B$72=1,B34&gt;'Immobilien-Kalkulation'!$B$69),'Immobilien-Kalkulation'!$B$73,'Immobilien-Kalkulation'!$B$65))</f>
        <v>3.5000000000000003E-2</v>
      </c>
      <c r="D34" s="53">
        <f>IF(A34&gt;'Immobilien-Kalkulation'!$B$70*12,0,I33)</f>
        <v>302756.62171875947</v>
      </c>
      <c r="E34" s="53">
        <f>IF(OR(A34&gt;'Immobilien-Kalkulation'!$B$70*12,D34&lt;=0),0,IF(AND('Immobilien-Kalkulation'!$B$72=1,B34&gt;'Immobilien-Kalkulation'!$B$69),MIN(D34*C34/12+'Immobilien-Kalkulation'!$B$74/12,D34*(1+C34/12)),MIN('Immobilien-Kalkulation'!$B$67,D34*(1+C34/12))))</f>
        <v>1429.9603560928113</v>
      </c>
      <c r="F34" s="53">
        <f>IF(OR(A34&gt;'Immobilien-Kalkulation'!$B$70*12,D34&lt;=0),0,D34*C34/12)</f>
        <v>883.04014667971524</v>
      </c>
      <c r="G34" s="53">
        <f>IF(OR(A34&gt;'Immobilien-Kalkulation'!$B$70*12,D34&lt;=0),0,MAX(0,MIN(D34,E34-F34)))</f>
        <v>546.92020941309602</v>
      </c>
      <c r="H34" s="95">
        <v>0</v>
      </c>
      <c r="I34" s="53">
        <f>IF(A34&gt;'Immobilien-Kalkulation'!$B$70*12,0,MAX(0,D34-G34-J34))</f>
        <v>302209.70150934637</v>
      </c>
      <c r="J34" s="53">
        <f>IF(OR(A34&gt;'Immobilien-Kalkulation'!$B$70*12,D34&lt;=0),0,MIN(H34,MAX(0,D34-G34)))</f>
        <v>0</v>
      </c>
      <c r="K34">
        <v>31</v>
      </c>
      <c r="L34" s="53">
        <f>IF(K34&gt;'Immobilien-Kalkulation'!$B$70,0,SUMIF($B$4:$B$603,K34,$F$4:$F$603))</f>
        <v>0</v>
      </c>
      <c r="M34" s="53">
        <f>IF(K34&gt;'Immobilien-Kalkulation'!$B$70,0,SUMIF($B$4:$B$603,K34,$E$4:$E$603)+SUMIF($B$4:$B$603,K34,$H$4:$H$603))</f>
        <v>0</v>
      </c>
      <c r="N34" s="53">
        <f>IF(K34&gt;'Immobilien-Kalkulation'!$B$70,0,SUMIF($B$4:$B$603,K34,$G$4:$G$603))</f>
        <v>0</v>
      </c>
      <c r="O34" s="53">
        <f>IF(K34&gt;'Immobilien-Kalkulation'!$B$70,0,SUMIF($B$4:$B$603,K34,$J$4:$J$603))</f>
        <v>0</v>
      </c>
      <c r="P34" s="53">
        <f>IF(K34&gt;'Immobilien-Kalkulation'!$B$70,0,IFERROR(INDEX($I$4:$I$603,K34*12),0))</f>
        <v>0</v>
      </c>
      <c r="Q34" t="str">
        <f>IF(K34&lt;='Immobilien-Kalkulation'!$B$70,"ja","—")</f>
        <v>—</v>
      </c>
    </row>
    <row r="35" spans="1:17" x14ac:dyDescent="0.25">
      <c r="A35">
        <v>32</v>
      </c>
      <c r="B35">
        <f t="shared" si="0"/>
        <v>3</v>
      </c>
      <c r="C35" s="28">
        <f>IF(A35&gt;'Immobilien-Kalkulation'!$B$70*12,0,IF(AND('Immobilien-Kalkulation'!$B$72=1,B35&gt;'Immobilien-Kalkulation'!$B$69),'Immobilien-Kalkulation'!$B$73,'Immobilien-Kalkulation'!$B$65))</f>
        <v>3.5000000000000003E-2</v>
      </c>
      <c r="D35" s="53">
        <f>IF(A35&gt;'Immobilien-Kalkulation'!$B$70*12,0,I34)</f>
        <v>302209.70150934637</v>
      </c>
      <c r="E35" s="53">
        <f>IF(OR(A35&gt;'Immobilien-Kalkulation'!$B$70*12,D35&lt;=0),0,IF(AND('Immobilien-Kalkulation'!$B$72=1,B35&gt;'Immobilien-Kalkulation'!$B$69),MIN(D35*C35/12+'Immobilien-Kalkulation'!$B$74/12,D35*(1+C35/12)),MIN('Immobilien-Kalkulation'!$B$67,D35*(1+C35/12))))</f>
        <v>1429.9603560928113</v>
      </c>
      <c r="F35" s="53">
        <f>IF(OR(A35&gt;'Immobilien-Kalkulation'!$B$70*12,D35&lt;=0),0,D35*C35/12)</f>
        <v>881.44496273559378</v>
      </c>
      <c r="G35" s="53">
        <f>IF(OR(A35&gt;'Immobilien-Kalkulation'!$B$70*12,D35&lt;=0),0,MAX(0,MIN(D35,E35-F35)))</f>
        <v>548.51539335721748</v>
      </c>
      <c r="H35" s="95">
        <v>0</v>
      </c>
      <c r="I35" s="53">
        <f>IF(A35&gt;'Immobilien-Kalkulation'!$B$70*12,0,MAX(0,D35-G35-J35))</f>
        <v>301661.18611598917</v>
      </c>
      <c r="J35" s="53">
        <f>IF(OR(A35&gt;'Immobilien-Kalkulation'!$B$70*12,D35&lt;=0),0,MIN(H35,MAX(0,D35-G35)))</f>
        <v>0</v>
      </c>
      <c r="K35">
        <v>32</v>
      </c>
      <c r="L35" s="53">
        <f>IF(K35&gt;'Immobilien-Kalkulation'!$B$70,0,SUMIF($B$4:$B$603,K35,$F$4:$F$603))</f>
        <v>0</v>
      </c>
      <c r="M35" s="53">
        <f>IF(K35&gt;'Immobilien-Kalkulation'!$B$70,0,SUMIF($B$4:$B$603,K35,$E$4:$E$603)+SUMIF($B$4:$B$603,K35,$H$4:$H$603))</f>
        <v>0</v>
      </c>
      <c r="N35" s="53">
        <f>IF(K35&gt;'Immobilien-Kalkulation'!$B$70,0,SUMIF($B$4:$B$603,K35,$G$4:$G$603))</f>
        <v>0</v>
      </c>
      <c r="O35" s="53">
        <f>IF(K35&gt;'Immobilien-Kalkulation'!$B$70,0,SUMIF($B$4:$B$603,K35,$J$4:$J$603))</f>
        <v>0</v>
      </c>
      <c r="P35" s="53">
        <f>IF(K35&gt;'Immobilien-Kalkulation'!$B$70,0,IFERROR(INDEX($I$4:$I$603,K35*12),0))</f>
        <v>0</v>
      </c>
      <c r="Q35" t="str">
        <f>IF(K35&lt;='Immobilien-Kalkulation'!$B$70,"ja","—")</f>
        <v>—</v>
      </c>
    </row>
    <row r="36" spans="1:17" x14ac:dyDescent="0.25">
      <c r="A36">
        <v>33</v>
      </c>
      <c r="B36">
        <f t="shared" si="0"/>
        <v>3</v>
      </c>
      <c r="C36" s="28">
        <f>IF(A36&gt;'Immobilien-Kalkulation'!$B$70*12,0,IF(AND('Immobilien-Kalkulation'!$B$72=1,B36&gt;'Immobilien-Kalkulation'!$B$69),'Immobilien-Kalkulation'!$B$73,'Immobilien-Kalkulation'!$B$65))</f>
        <v>3.5000000000000003E-2</v>
      </c>
      <c r="D36" s="53">
        <f>IF(A36&gt;'Immobilien-Kalkulation'!$B$70*12,0,I35)</f>
        <v>301661.18611598917</v>
      </c>
      <c r="E36" s="53">
        <f>IF(OR(A36&gt;'Immobilien-Kalkulation'!$B$70*12,D36&lt;=0),0,IF(AND('Immobilien-Kalkulation'!$B$72=1,B36&gt;'Immobilien-Kalkulation'!$B$69),MIN(D36*C36/12+'Immobilien-Kalkulation'!$B$74/12,D36*(1+C36/12)),MIN('Immobilien-Kalkulation'!$B$67,D36*(1+C36/12))))</f>
        <v>1429.9603560928113</v>
      </c>
      <c r="F36" s="53">
        <f>IF(OR(A36&gt;'Immobilien-Kalkulation'!$B$70*12,D36&lt;=0),0,D36*C36/12)</f>
        <v>879.84512617163512</v>
      </c>
      <c r="G36" s="53">
        <f>IF(OR(A36&gt;'Immobilien-Kalkulation'!$B$70*12,D36&lt;=0),0,MAX(0,MIN(D36,E36-F36)))</f>
        <v>550.11522992117614</v>
      </c>
      <c r="H36" s="95">
        <v>0</v>
      </c>
      <c r="I36" s="53">
        <f>IF(A36&gt;'Immobilien-Kalkulation'!$B$70*12,0,MAX(0,D36-G36-J36))</f>
        <v>301111.07088606799</v>
      </c>
      <c r="J36" s="53">
        <f>IF(OR(A36&gt;'Immobilien-Kalkulation'!$B$70*12,D36&lt;=0),0,MIN(H36,MAX(0,D36-G36)))</f>
        <v>0</v>
      </c>
      <c r="K36">
        <v>33</v>
      </c>
      <c r="L36" s="53">
        <f>IF(K36&gt;'Immobilien-Kalkulation'!$B$70,0,SUMIF($B$4:$B$603,K36,$F$4:$F$603))</f>
        <v>0</v>
      </c>
      <c r="M36" s="53">
        <f>IF(K36&gt;'Immobilien-Kalkulation'!$B$70,0,SUMIF($B$4:$B$603,K36,$E$4:$E$603)+SUMIF($B$4:$B$603,K36,$H$4:$H$603))</f>
        <v>0</v>
      </c>
      <c r="N36" s="53">
        <f>IF(K36&gt;'Immobilien-Kalkulation'!$B$70,0,SUMIF($B$4:$B$603,K36,$G$4:$G$603))</f>
        <v>0</v>
      </c>
      <c r="O36" s="53">
        <f>IF(K36&gt;'Immobilien-Kalkulation'!$B$70,0,SUMIF($B$4:$B$603,K36,$J$4:$J$603))</f>
        <v>0</v>
      </c>
      <c r="P36" s="53">
        <f>IF(K36&gt;'Immobilien-Kalkulation'!$B$70,0,IFERROR(INDEX($I$4:$I$603,K36*12),0))</f>
        <v>0</v>
      </c>
      <c r="Q36" t="str">
        <f>IF(K36&lt;='Immobilien-Kalkulation'!$B$70,"ja","—")</f>
        <v>—</v>
      </c>
    </row>
    <row r="37" spans="1:17" x14ac:dyDescent="0.25">
      <c r="A37">
        <v>34</v>
      </c>
      <c r="B37">
        <f t="shared" si="0"/>
        <v>3</v>
      </c>
      <c r="C37" s="28">
        <f>IF(A37&gt;'Immobilien-Kalkulation'!$B$70*12,0,IF(AND('Immobilien-Kalkulation'!$B$72=1,B37&gt;'Immobilien-Kalkulation'!$B$69),'Immobilien-Kalkulation'!$B$73,'Immobilien-Kalkulation'!$B$65))</f>
        <v>3.5000000000000003E-2</v>
      </c>
      <c r="D37" s="53">
        <f>IF(A37&gt;'Immobilien-Kalkulation'!$B$70*12,0,I36)</f>
        <v>301111.07088606799</v>
      </c>
      <c r="E37" s="53">
        <f>IF(OR(A37&gt;'Immobilien-Kalkulation'!$B$70*12,D37&lt;=0),0,IF(AND('Immobilien-Kalkulation'!$B$72=1,B37&gt;'Immobilien-Kalkulation'!$B$69),MIN(D37*C37/12+'Immobilien-Kalkulation'!$B$74/12,D37*(1+C37/12)),MIN('Immobilien-Kalkulation'!$B$67,D37*(1+C37/12))))</f>
        <v>1429.9603560928113</v>
      </c>
      <c r="F37" s="53">
        <f>IF(OR(A37&gt;'Immobilien-Kalkulation'!$B$70*12,D37&lt;=0),0,D37*C37/12)</f>
        <v>878.24062341769832</v>
      </c>
      <c r="G37" s="53">
        <f>IF(OR(A37&gt;'Immobilien-Kalkulation'!$B$70*12,D37&lt;=0),0,MAX(0,MIN(D37,E37-F37)))</f>
        <v>551.71973267511294</v>
      </c>
      <c r="H37" s="95">
        <v>0</v>
      </c>
      <c r="I37" s="53">
        <f>IF(A37&gt;'Immobilien-Kalkulation'!$B$70*12,0,MAX(0,D37-G37-J37))</f>
        <v>300559.35115339287</v>
      </c>
      <c r="J37" s="53">
        <f>IF(OR(A37&gt;'Immobilien-Kalkulation'!$B$70*12,D37&lt;=0),0,MIN(H37,MAX(0,D37-G37)))</f>
        <v>0</v>
      </c>
      <c r="K37">
        <v>34</v>
      </c>
      <c r="L37" s="53">
        <f>IF(K37&gt;'Immobilien-Kalkulation'!$B$70,0,SUMIF($B$4:$B$603,K37,$F$4:$F$603))</f>
        <v>0</v>
      </c>
      <c r="M37" s="53">
        <f>IF(K37&gt;'Immobilien-Kalkulation'!$B$70,0,SUMIF($B$4:$B$603,K37,$E$4:$E$603)+SUMIF($B$4:$B$603,K37,$H$4:$H$603))</f>
        <v>0</v>
      </c>
      <c r="N37" s="53">
        <f>IF(K37&gt;'Immobilien-Kalkulation'!$B$70,0,SUMIF($B$4:$B$603,K37,$G$4:$G$603))</f>
        <v>0</v>
      </c>
      <c r="O37" s="53">
        <f>IF(K37&gt;'Immobilien-Kalkulation'!$B$70,0,SUMIF($B$4:$B$603,K37,$J$4:$J$603))</f>
        <v>0</v>
      </c>
      <c r="P37" s="53">
        <f>IF(K37&gt;'Immobilien-Kalkulation'!$B$70,0,IFERROR(INDEX($I$4:$I$603,K37*12),0))</f>
        <v>0</v>
      </c>
      <c r="Q37" t="str">
        <f>IF(K37&lt;='Immobilien-Kalkulation'!$B$70,"ja","—")</f>
        <v>—</v>
      </c>
    </row>
    <row r="38" spans="1:17" x14ac:dyDescent="0.25">
      <c r="A38">
        <v>35</v>
      </c>
      <c r="B38">
        <f t="shared" si="0"/>
        <v>3</v>
      </c>
      <c r="C38" s="28">
        <f>IF(A38&gt;'Immobilien-Kalkulation'!$B$70*12,0,IF(AND('Immobilien-Kalkulation'!$B$72=1,B38&gt;'Immobilien-Kalkulation'!$B$69),'Immobilien-Kalkulation'!$B$73,'Immobilien-Kalkulation'!$B$65))</f>
        <v>3.5000000000000003E-2</v>
      </c>
      <c r="D38" s="53">
        <f>IF(A38&gt;'Immobilien-Kalkulation'!$B$70*12,0,I37)</f>
        <v>300559.35115339287</v>
      </c>
      <c r="E38" s="53">
        <f>IF(OR(A38&gt;'Immobilien-Kalkulation'!$B$70*12,D38&lt;=0),0,IF(AND('Immobilien-Kalkulation'!$B$72=1,B38&gt;'Immobilien-Kalkulation'!$B$69),MIN(D38*C38/12+'Immobilien-Kalkulation'!$B$74/12,D38*(1+C38/12)),MIN('Immobilien-Kalkulation'!$B$67,D38*(1+C38/12))))</f>
        <v>1429.9603560928113</v>
      </c>
      <c r="F38" s="53">
        <f>IF(OR(A38&gt;'Immobilien-Kalkulation'!$B$70*12,D38&lt;=0),0,D38*C38/12)</f>
        <v>876.63144086406271</v>
      </c>
      <c r="G38" s="53">
        <f>IF(OR(A38&gt;'Immobilien-Kalkulation'!$B$70*12,D38&lt;=0),0,MAX(0,MIN(D38,E38-F38)))</f>
        <v>553.32891522874854</v>
      </c>
      <c r="H38" s="95">
        <v>0</v>
      </c>
      <c r="I38" s="53">
        <f>IF(A38&gt;'Immobilien-Kalkulation'!$B$70*12,0,MAX(0,D38-G38-J38))</f>
        <v>300006.02223816409</v>
      </c>
      <c r="J38" s="53">
        <f>IF(OR(A38&gt;'Immobilien-Kalkulation'!$B$70*12,D38&lt;=0),0,MIN(H38,MAX(0,D38-G38)))</f>
        <v>0</v>
      </c>
      <c r="K38">
        <v>35</v>
      </c>
      <c r="L38" s="53">
        <f>IF(K38&gt;'Immobilien-Kalkulation'!$B$70,0,SUMIF($B$4:$B$603,K38,$F$4:$F$603))</f>
        <v>0</v>
      </c>
      <c r="M38" s="53">
        <f>IF(K38&gt;'Immobilien-Kalkulation'!$B$70,0,SUMIF($B$4:$B$603,K38,$E$4:$E$603)+SUMIF($B$4:$B$603,K38,$H$4:$H$603))</f>
        <v>0</v>
      </c>
      <c r="N38" s="53">
        <f>IF(K38&gt;'Immobilien-Kalkulation'!$B$70,0,SUMIF($B$4:$B$603,K38,$G$4:$G$603))</f>
        <v>0</v>
      </c>
      <c r="O38" s="53">
        <f>IF(K38&gt;'Immobilien-Kalkulation'!$B$70,0,SUMIF($B$4:$B$603,K38,$J$4:$J$603))</f>
        <v>0</v>
      </c>
      <c r="P38" s="53">
        <f>IF(K38&gt;'Immobilien-Kalkulation'!$B$70,0,IFERROR(INDEX($I$4:$I$603,K38*12),0))</f>
        <v>0</v>
      </c>
      <c r="Q38" t="str">
        <f>IF(K38&lt;='Immobilien-Kalkulation'!$B$70,"ja","—")</f>
        <v>—</v>
      </c>
    </row>
    <row r="39" spans="1:17" x14ac:dyDescent="0.25">
      <c r="A39">
        <v>36</v>
      </c>
      <c r="B39">
        <f t="shared" si="0"/>
        <v>3</v>
      </c>
      <c r="C39" s="28">
        <f>IF(A39&gt;'Immobilien-Kalkulation'!$B$70*12,0,IF(AND('Immobilien-Kalkulation'!$B$72=1,B39&gt;'Immobilien-Kalkulation'!$B$69),'Immobilien-Kalkulation'!$B$73,'Immobilien-Kalkulation'!$B$65))</f>
        <v>3.5000000000000003E-2</v>
      </c>
      <c r="D39" s="53">
        <f>IF(A39&gt;'Immobilien-Kalkulation'!$B$70*12,0,I38)</f>
        <v>300006.02223816409</v>
      </c>
      <c r="E39" s="53">
        <f>IF(OR(A39&gt;'Immobilien-Kalkulation'!$B$70*12,D39&lt;=0),0,IF(AND('Immobilien-Kalkulation'!$B$72=1,B39&gt;'Immobilien-Kalkulation'!$B$69),MIN(D39*C39/12+'Immobilien-Kalkulation'!$B$74/12,D39*(1+C39/12)),MIN('Immobilien-Kalkulation'!$B$67,D39*(1+C39/12))))</f>
        <v>1429.9603560928113</v>
      </c>
      <c r="F39" s="53">
        <f>IF(OR(A39&gt;'Immobilien-Kalkulation'!$B$70*12,D39&lt;=0),0,D39*C39/12)</f>
        <v>875.01756486131205</v>
      </c>
      <c r="G39" s="53">
        <f>IF(OR(A39&gt;'Immobilien-Kalkulation'!$B$70*12,D39&lt;=0),0,MAX(0,MIN(D39,E39-F39)))</f>
        <v>554.9427912314992</v>
      </c>
      <c r="H39" s="95">
        <v>0</v>
      </c>
      <c r="I39" s="53">
        <f>IF(A39&gt;'Immobilien-Kalkulation'!$B$70*12,0,MAX(0,D39-G39-J39))</f>
        <v>299451.07944693259</v>
      </c>
      <c r="J39" s="53">
        <f>IF(OR(A39&gt;'Immobilien-Kalkulation'!$B$70*12,D39&lt;=0),0,MIN(H39,MAX(0,D39-G39)))</f>
        <v>0</v>
      </c>
      <c r="K39">
        <v>36</v>
      </c>
      <c r="L39" s="53">
        <f>IF(K39&gt;'Immobilien-Kalkulation'!$B$70,0,SUMIF($B$4:$B$603,K39,$F$4:$F$603))</f>
        <v>0</v>
      </c>
      <c r="M39" s="53">
        <f>IF(K39&gt;'Immobilien-Kalkulation'!$B$70,0,SUMIF($B$4:$B$603,K39,$E$4:$E$603)+SUMIF($B$4:$B$603,K39,$H$4:$H$603))</f>
        <v>0</v>
      </c>
      <c r="N39" s="53">
        <f>IF(K39&gt;'Immobilien-Kalkulation'!$B$70,0,SUMIF($B$4:$B$603,K39,$G$4:$G$603))</f>
        <v>0</v>
      </c>
      <c r="O39" s="53">
        <f>IF(K39&gt;'Immobilien-Kalkulation'!$B$70,0,SUMIF($B$4:$B$603,K39,$J$4:$J$603))</f>
        <v>0</v>
      </c>
      <c r="P39" s="53">
        <f>IF(K39&gt;'Immobilien-Kalkulation'!$B$70,0,IFERROR(INDEX($I$4:$I$603,K39*12),0))</f>
        <v>0</v>
      </c>
      <c r="Q39" t="str">
        <f>IF(K39&lt;='Immobilien-Kalkulation'!$B$70,"ja","—")</f>
        <v>—</v>
      </c>
    </row>
    <row r="40" spans="1:17" x14ac:dyDescent="0.25">
      <c r="A40">
        <v>37</v>
      </c>
      <c r="B40">
        <f t="shared" si="0"/>
        <v>4</v>
      </c>
      <c r="C40" s="28">
        <f>IF(A40&gt;'Immobilien-Kalkulation'!$B$70*12,0,IF(AND('Immobilien-Kalkulation'!$B$72=1,B40&gt;'Immobilien-Kalkulation'!$B$69),'Immobilien-Kalkulation'!$B$73,'Immobilien-Kalkulation'!$B$65))</f>
        <v>3.5000000000000003E-2</v>
      </c>
      <c r="D40" s="53">
        <f>IF(A40&gt;'Immobilien-Kalkulation'!$B$70*12,0,I39)</f>
        <v>299451.07944693259</v>
      </c>
      <c r="E40" s="53">
        <f>IF(OR(A40&gt;'Immobilien-Kalkulation'!$B$70*12,D40&lt;=0),0,IF(AND('Immobilien-Kalkulation'!$B$72=1,B40&gt;'Immobilien-Kalkulation'!$B$69),MIN(D40*C40/12+'Immobilien-Kalkulation'!$B$74/12,D40*(1+C40/12)),MIN('Immobilien-Kalkulation'!$B$67,D40*(1+C40/12))))</f>
        <v>1429.9603560928113</v>
      </c>
      <c r="F40" s="53">
        <f>IF(OR(A40&gt;'Immobilien-Kalkulation'!$B$70*12,D40&lt;=0),0,D40*C40/12)</f>
        <v>873.39898172022015</v>
      </c>
      <c r="G40" s="53">
        <f>IF(OR(A40&gt;'Immobilien-Kalkulation'!$B$70*12,D40&lt;=0),0,MAX(0,MIN(D40,E40-F40)))</f>
        <v>556.5613743725911</v>
      </c>
      <c r="H40" s="95">
        <v>0</v>
      </c>
      <c r="I40" s="53">
        <f>IF(A40&gt;'Immobilien-Kalkulation'!$B$70*12,0,MAX(0,D40-G40-J40))</f>
        <v>298894.51807256002</v>
      </c>
      <c r="J40" s="53">
        <f>IF(OR(A40&gt;'Immobilien-Kalkulation'!$B$70*12,D40&lt;=0),0,MIN(H40,MAX(0,D40-G40)))</f>
        <v>0</v>
      </c>
      <c r="K40">
        <v>37</v>
      </c>
      <c r="L40" s="53">
        <f>IF(K40&gt;'Immobilien-Kalkulation'!$B$70,0,SUMIF($B$4:$B$603,K40,$F$4:$F$603))</f>
        <v>0</v>
      </c>
      <c r="M40" s="53">
        <f>IF(K40&gt;'Immobilien-Kalkulation'!$B$70,0,SUMIF($B$4:$B$603,K40,$E$4:$E$603)+SUMIF($B$4:$B$603,K40,$H$4:$H$603))</f>
        <v>0</v>
      </c>
      <c r="N40" s="53">
        <f>IF(K40&gt;'Immobilien-Kalkulation'!$B$70,0,SUMIF($B$4:$B$603,K40,$G$4:$G$603))</f>
        <v>0</v>
      </c>
      <c r="O40" s="53">
        <f>IF(K40&gt;'Immobilien-Kalkulation'!$B$70,0,SUMIF($B$4:$B$603,K40,$J$4:$J$603))</f>
        <v>0</v>
      </c>
      <c r="P40" s="53">
        <f>IF(K40&gt;'Immobilien-Kalkulation'!$B$70,0,IFERROR(INDEX($I$4:$I$603,K40*12),0))</f>
        <v>0</v>
      </c>
      <c r="Q40" t="str">
        <f>IF(K40&lt;='Immobilien-Kalkulation'!$B$70,"ja","—")</f>
        <v>—</v>
      </c>
    </row>
    <row r="41" spans="1:17" x14ac:dyDescent="0.25">
      <c r="A41">
        <v>38</v>
      </c>
      <c r="B41">
        <f t="shared" si="0"/>
        <v>4</v>
      </c>
      <c r="C41" s="28">
        <f>IF(A41&gt;'Immobilien-Kalkulation'!$B$70*12,0,IF(AND('Immobilien-Kalkulation'!$B$72=1,B41&gt;'Immobilien-Kalkulation'!$B$69),'Immobilien-Kalkulation'!$B$73,'Immobilien-Kalkulation'!$B$65))</f>
        <v>3.5000000000000003E-2</v>
      </c>
      <c r="D41" s="53">
        <f>IF(A41&gt;'Immobilien-Kalkulation'!$B$70*12,0,I40)</f>
        <v>298894.51807256002</v>
      </c>
      <c r="E41" s="53">
        <f>IF(OR(A41&gt;'Immobilien-Kalkulation'!$B$70*12,D41&lt;=0),0,IF(AND('Immobilien-Kalkulation'!$B$72=1,B41&gt;'Immobilien-Kalkulation'!$B$69),MIN(D41*C41/12+'Immobilien-Kalkulation'!$B$74/12,D41*(1+C41/12)),MIN('Immobilien-Kalkulation'!$B$67,D41*(1+C41/12))))</f>
        <v>1429.9603560928113</v>
      </c>
      <c r="F41" s="53">
        <f>IF(OR(A41&gt;'Immobilien-Kalkulation'!$B$70*12,D41&lt;=0),0,D41*C41/12)</f>
        <v>871.77567771163342</v>
      </c>
      <c r="G41" s="53">
        <f>IF(OR(A41&gt;'Immobilien-Kalkulation'!$B$70*12,D41&lt;=0),0,MAX(0,MIN(D41,E41-F41)))</f>
        <v>558.18467838117783</v>
      </c>
      <c r="H41" s="95">
        <v>0</v>
      </c>
      <c r="I41" s="53">
        <f>IF(A41&gt;'Immobilien-Kalkulation'!$B$70*12,0,MAX(0,D41-G41-J41))</f>
        <v>298336.33339417883</v>
      </c>
      <c r="J41" s="53">
        <f>IF(OR(A41&gt;'Immobilien-Kalkulation'!$B$70*12,D41&lt;=0),0,MIN(H41,MAX(0,D41-G41)))</f>
        <v>0</v>
      </c>
      <c r="K41">
        <v>38</v>
      </c>
      <c r="L41" s="53">
        <f>IF(K41&gt;'Immobilien-Kalkulation'!$B$70,0,SUMIF($B$4:$B$603,K41,$F$4:$F$603))</f>
        <v>0</v>
      </c>
      <c r="M41" s="53">
        <f>IF(K41&gt;'Immobilien-Kalkulation'!$B$70,0,SUMIF($B$4:$B$603,K41,$E$4:$E$603)+SUMIF($B$4:$B$603,K41,$H$4:$H$603))</f>
        <v>0</v>
      </c>
      <c r="N41" s="53">
        <f>IF(K41&gt;'Immobilien-Kalkulation'!$B$70,0,SUMIF($B$4:$B$603,K41,$G$4:$G$603))</f>
        <v>0</v>
      </c>
      <c r="O41" s="53">
        <f>IF(K41&gt;'Immobilien-Kalkulation'!$B$70,0,SUMIF($B$4:$B$603,K41,$J$4:$J$603))</f>
        <v>0</v>
      </c>
      <c r="P41" s="53">
        <f>IF(K41&gt;'Immobilien-Kalkulation'!$B$70,0,IFERROR(INDEX($I$4:$I$603,K41*12),0))</f>
        <v>0</v>
      </c>
      <c r="Q41" t="str">
        <f>IF(K41&lt;='Immobilien-Kalkulation'!$B$70,"ja","—")</f>
        <v>—</v>
      </c>
    </row>
    <row r="42" spans="1:17" x14ac:dyDescent="0.25">
      <c r="A42">
        <v>39</v>
      </c>
      <c r="B42">
        <f t="shared" si="0"/>
        <v>4</v>
      </c>
      <c r="C42" s="28">
        <f>IF(A42&gt;'Immobilien-Kalkulation'!$B$70*12,0,IF(AND('Immobilien-Kalkulation'!$B$72=1,B42&gt;'Immobilien-Kalkulation'!$B$69),'Immobilien-Kalkulation'!$B$73,'Immobilien-Kalkulation'!$B$65))</f>
        <v>3.5000000000000003E-2</v>
      </c>
      <c r="D42" s="53">
        <f>IF(A42&gt;'Immobilien-Kalkulation'!$B$70*12,0,I41)</f>
        <v>298336.33339417883</v>
      </c>
      <c r="E42" s="53">
        <f>IF(OR(A42&gt;'Immobilien-Kalkulation'!$B$70*12,D42&lt;=0),0,IF(AND('Immobilien-Kalkulation'!$B$72=1,B42&gt;'Immobilien-Kalkulation'!$B$69),MIN(D42*C42/12+'Immobilien-Kalkulation'!$B$74/12,D42*(1+C42/12)),MIN('Immobilien-Kalkulation'!$B$67,D42*(1+C42/12))))</f>
        <v>1429.9603560928113</v>
      </c>
      <c r="F42" s="53">
        <f>IF(OR(A42&gt;'Immobilien-Kalkulation'!$B$70*12,D42&lt;=0),0,D42*C42/12)</f>
        <v>870.14763906635505</v>
      </c>
      <c r="G42" s="53">
        <f>IF(OR(A42&gt;'Immobilien-Kalkulation'!$B$70*12,D42&lt;=0),0,MAX(0,MIN(D42,E42-F42)))</f>
        <v>559.8127170264562</v>
      </c>
      <c r="H42" s="95">
        <v>0</v>
      </c>
      <c r="I42" s="53">
        <f>IF(A42&gt;'Immobilien-Kalkulation'!$B$70*12,0,MAX(0,D42-G42-J42))</f>
        <v>297776.52067715238</v>
      </c>
      <c r="J42" s="53">
        <f>IF(OR(A42&gt;'Immobilien-Kalkulation'!$B$70*12,D42&lt;=0),0,MIN(H42,MAX(0,D42-G42)))</f>
        <v>0</v>
      </c>
      <c r="K42">
        <v>39</v>
      </c>
      <c r="L42" s="53">
        <f>IF(K42&gt;'Immobilien-Kalkulation'!$B$70,0,SUMIF($B$4:$B$603,K42,$F$4:$F$603))</f>
        <v>0</v>
      </c>
      <c r="M42" s="53">
        <f>IF(K42&gt;'Immobilien-Kalkulation'!$B$70,0,SUMIF($B$4:$B$603,K42,$E$4:$E$603)+SUMIF($B$4:$B$603,K42,$H$4:$H$603))</f>
        <v>0</v>
      </c>
      <c r="N42" s="53">
        <f>IF(K42&gt;'Immobilien-Kalkulation'!$B$70,0,SUMIF($B$4:$B$603,K42,$G$4:$G$603))</f>
        <v>0</v>
      </c>
      <c r="O42" s="53">
        <f>IF(K42&gt;'Immobilien-Kalkulation'!$B$70,0,SUMIF($B$4:$B$603,K42,$J$4:$J$603))</f>
        <v>0</v>
      </c>
      <c r="P42" s="53">
        <f>IF(K42&gt;'Immobilien-Kalkulation'!$B$70,0,IFERROR(INDEX($I$4:$I$603,K42*12),0))</f>
        <v>0</v>
      </c>
      <c r="Q42" t="str">
        <f>IF(K42&lt;='Immobilien-Kalkulation'!$B$70,"ja","—")</f>
        <v>—</v>
      </c>
    </row>
    <row r="43" spans="1:17" x14ac:dyDescent="0.25">
      <c r="A43">
        <v>40</v>
      </c>
      <c r="B43">
        <f t="shared" si="0"/>
        <v>4</v>
      </c>
      <c r="C43" s="28">
        <f>IF(A43&gt;'Immobilien-Kalkulation'!$B$70*12,0,IF(AND('Immobilien-Kalkulation'!$B$72=1,B43&gt;'Immobilien-Kalkulation'!$B$69),'Immobilien-Kalkulation'!$B$73,'Immobilien-Kalkulation'!$B$65))</f>
        <v>3.5000000000000003E-2</v>
      </c>
      <c r="D43" s="53">
        <f>IF(A43&gt;'Immobilien-Kalkulation'!$B$70*12,0,I42)</f>
        <v>297776.52067715238</v>
      </c>
      <c r="E43" s="53">
        <f>IF(OR(A43&gt;'Immobilien-Kalkulation'!$B$70*12,D43&lt;=0),0,IF(AND('Immobilien-Kalkulation'!$B$72=1,B43&gt;'Immobilien-Kalkulation'!$B$69),MIN(D43*C43/12+'Immobilien-Kalkulation'!$B$74/12,D43*(1+C43/12)),MIN('Immobilien-Kalkulation'!$B$67,D43*(1+C43/12))))</f>
        <v>1429.9603560928113</v>
      </c>
      <c r="F43" s="53">
        <f>IF(OR(A43&gt;'Immobilien-Kalkulation'!$B$70*12,D43&lt;=0),0,D43*C43/12)</f>
        <v>868.5148519750278</v>
      </c>
      <c r="G43" s="53">
        <f>IF(OR(A43&gt;'Immobilien-Kalkulation'!$B$70*12,D43&lt;=0),0,MAX(0,MIN(D43,E43-F43)))</f>
        <v>561.44550411778346</v>
      </c>
      <c r="H43" s="95">
        <v>0</v>
      </c>
      <c r="I43" s="53">
        <f>IF(A43&gt;'Immobilien-Kalkulation'!$B$70*12,0,MAX(0,D43-G43-J43))</f>
        <v>297215.07517303462</v>
      </c>
      <c r="J43" s="53">
        <f>IF(OR(A43&gt;'Immobilien-Kalkulation'!$B$70*12,D43&lt;=0),0,MIN(H43,MAX(0,D43-G43)))</f>
        <v>0</v>
      </c>
      <c r="K43">
        <v>40</v>
      </c>
      <c r="L43" s="53">
        <f>IF(K43&gt;'Immobilien-Kalkulation'!$B$70,0,SUMIF($B$4:$B$603,K43,$F$4:$F$603))</f>
        <v>0</v>
      </c>
      <c r="M43" s="53">
        <f>IF(K43&gt;'Immobilien-Kalkulation'!$B$70,0,SUMIF($B$4:$B$603,K43,$E$4:$E$603)+SUMIF($B$4:$B$603,K43,$H$4:$H$603))</f>
        <v>0</v>
      </c>
      <c r="N43" s="53">
        <f>IF(K43&gt;'Immobilien-Kalkulation'!$B$70,0,SUMIF($B$4:$B$603,K43,$G$4:$G$603))</f>
        <v>0</v>
      </c>
      <c r="O43" s="53">
        <f>IF(K43&gt;'Immobilien-Kalkulation'!$B$70,0,SUMIF($B$4:$B$603,K43,$J$4:$J$603))</f>
        <v>0</v>
      </c>
      <c r="P43" s="53">
        <f>IF(K43&gt;'Immobilien-Kalkulation'!$B$70,0,IFERROR(INDEX($I$4:$I$603,K43*12),0))</f>
        <v>0</v>
      </c>
      <c r="Q43" t="str">
        <f>IF(K43&lt;='Immobilien-Kalkulation'!$B$70,"ja","—")</f>
        <v>—</v>
      </c>
    </row>
    <row r="44" spans="1:17" x14ac:dyDescent="0.25">
      <c r="A44">
        <v>41</v>
      </c>
      <c r="B44">
        <f t="shared" si="0"/>
        <v>4</v>
      </c>
      <c r="C44" s="28">
        <f>IF(A44&gt;'Immobilien-Kalkulation'!$B$70*12,0,IF(AND('Immobilien-Kalkulation'!$B$72=1,B44&gt;'Immobilien-Kalkulation'!$B$69),'Immobilien-Kalkulation'!$B$73,'Immobilien-Kalkulation'!$B$65))</f>
        <v>3.5000000000000003E-2</v>
      </c>
      <c r="D44" s="53">
        <f>IF(A44&gt;'Immobilien-Kalkulation'!$B$70*12,0,I43)</f>
        <v>297215.07517303462</v>
      </c>
      <c r="E44" s="53">
        <f>IF(OR(A44&gt;'Immobilien-Kalkulation'!$B$70*12,D44&lt;=0),0,IF(AND('Immobilien-Kalkulation'!$B$72=1,B44&gt;'Immobilien-Kalkulation'!$B$69),MIN(D44*C44/12+'Immobilien-Kalkulation'!$B$74/12,D44*(1+C44/12)),MIN('Immobilien-Kalkulation'!$B$67,D44*(1+C44/12))))</f>
        <v>1429.9603560928113</v>
      </c>
      <c r="F44" s="53">
        <f>IF(OR(A44&gt;'Immobilien-Kalkulation'!$B$70*12,D44&lt;=0),0,D44*C44/12)</f>
        <v>866.87730258801776</v>
      </c>
      <c r="G44" s="53">
        <f>IF(OR(A44&gt;'Immobilien-Kalkulation'!$B$70*12,D44&lt;=0),0,MAX(0,MIN(D44,E44-F44)))</f>
        <v>563.0830535047935</v>
      </c>
      <c r="H44" s="95">
        <v>0</v>
      </c>
      <c r="I44" s="53">
        <f>IF(A44&gt;'Immobilien-Kalkulation'!$B$70*12,0,MAX(0,D44-G44-J44))</f>
        <v>296651.99211952981</v>
      </c>
      <c r="J44" s="53">
        <f>IF(OR(A44&gt;'Immobilien-Kalkulation'!$B$70*12,D44&lt;=0),0,MIN(H44,MAX(0,D44-G44)))</f>
        <v>0</v>
      </c>
      <c r="K44">
        <v>41</v>
      </c>
      <c r="L44" s="53">
        <f>IF(K44&gt;'Immobilien-Kalkulation'!$B$70,0,SUMIF($B$4:$B$603,K44,$F$4:$F$603))</f>
        <v>0</v>
      </c>
      <c r="M44" s="53">
        <f>IF(K44&gt;'Immobilien-Kalkulation'!$B$70,0,SUMIF($B$4:$B$603,K44,$E$4:$E$603)+SUMIF($B$4:$B$603,K44,$H$4:$H$603))</f>
        <v>0</v>
      </c>
      <c r="N44" s="53">
        <f>IF(K44&gt;'Immobilien-Kalkulation'!$B$70,0,SUMIF($B$4:$B$603,K44,$G$4:$G$603))</f>
        <v>0</v>
      </c>
      <c r="O44" s="53">
        <f>IF(K44&gt;'Immobilien-Kalkulation'!$B$70,0,SUMIF($B$4:$B$603,K44,$J$4:$J$603))</f>
        <v>0</v>
      </c>
      <c r="P44" s="53">
        <f>IF(K44&gt;'Immobilien-Kalkulation'!$B$70,0,IFERROR(INDEX($I$4:$I$603,K44*12),0))</f>
        <v>0</v>
      </c>
      <c r="Q44" t="str">
        <f>IF(K44&lt;='Immobilien-Kalkulation'!$B$70,"ja","—")</f>
        <v>—</v>
      </c>
    </row>
    <row r="45" spans="1:17" x14ac:dyDescent="0.25">
      <c r="A45">
        <v>42</v>
      </c>
      <c r="B45">
        <f t="shared" si="0"/>
        <v>4</v>
      </c>
      <c r="C45" s="28">
        <f>IF(A45&gt;'Immobilien-Kalkulation'!$B$70*12,0,IF(AND('Immobilien-Kalkulation'!$B$72=1,B45&gt;'Immobilien-Kalkulation'!$B$69),'Immobilien-Kalkulation'!$B$73,'Immobilien-Kalkulation'!$B$65))</f>
        <v>3.5000000000000003E-2</v>
      </c>
      <c r="D45" s="53">
        <f>IF(A45&gt;'Immobilien-Kalkulation'!$B$70*12,0,I44)</f>
        <v>296651.99211952981</v>
      </c>
      <c r="E45" s="53">
        <f>IF(OR(A45&gt;'Immobilien-Kalkulation'!$B$70*12,D45&lt;=0),0,IF(AND('Immobilien-Kalkulation'!$B$72=1,B45&gt;'Immobilien-Kalkulation'!$B$69),MIN(D45*C45/12+'Immobilien-Kalkulation'!$B$74/12,D45*(1+C45/12)),MIN('Immobilien-Kalkulation'!$B$67,D45*(1+C45/12))))</f>
        <v>1429.9603560928113</v>
      </c>
      <c r="F45" s="53">
        <f>IF(OR(A45&gt;'Immobilien-Kalkulation'!$B$70*12,D45&lt;=0),0,D45*C45/12)</f>
        <v>865.23497701529539</v>
      </c>
      <c r="G45" s="53">
        <f>IF(OR(A45&gt;'Immobilien-Kalkulation'!$B$70*12,D45&lt;=0),0,MAX(0,MIN(D45,E45-F45)))</f>
        <v>564.72537907751587</v>
      </c>
      <c r="H45" s="95">
        <v>0</v>
      </c>
      <c r="I45" s="53">
        <f>IF(A45&gt;'Immobilien-Kalkulation'!$B$70*12,0,MAX(0,D45-G45-J45))</f>
        <v>296087.26674045227</v>
      </c>
      <c r="J45" s="53">
        <f>IF(OR(A45&gt;'Immobilien-Kalkulation'!$B$70*12,D45&lt;=0),0,MIN(H45,MAX(0,D45-G45)))</f>
        <v>0</v>
      </c>
      <c r="K45">
        <v>42</v>
      </c>
      <c r="L45" s="53">
        <f>IF(K45&gt;'Immobilien-Kalkulation'!$B$70,0,SUMIF($B$4:$B$603,K45,$F$4:$F$603))</f>
        <v>0</v>
      </c>
      <c r="M45" s="53">
        <f>IF(K45&gt;'Immobilien-Kalkulation'!$B$70,0,SUMIF($B$4:$B$603,K45,$E$4:$E$603)+SUMIF($B$4:$B$603,K45,$H$4:$H$603))</f>
        <v>0</v>
      </c>
      <c r="N45" s="53">
        <f>IF(K45&gt;'Immobilien-Kalkulation'!$B$70,0,SUMIF($B$4:$B$603,K45,$G$4:$G$603))</f>
        <v>0</v>
      </c>
      <c r="O45" s="53">
        <f>IF(K45&gt;'Immobilien-Kalkulation'!$B$70,0,SUMIF($B$4:$B$603,K45,$J$4:$J$603))</f>
        <v>0</v>
      </c>
      <c r="P45" s="53">
        <f>IF(K45&gt;'Immobilien-Kalkulation'!$B$70,0,IFERROR(INDEX($I$4:$I$603,K45*12),0))</f>
        <v>0</v>
      </c>
      <c r="Q45" t="str">
        <f>IF(K45&lt;='Immobilien-Kalkulation'!$B$70,"ja","—")</f>
        <v>—</v>
      </c>
    </row>
    <row r="46" spans="1:17" x14ac:dyDescent="0.25">
      <c r="A46">
        <v>43</v>
      </c>
      <c r="B46">
        <f t="shared" si="0"/>
        <v>4</v>
      </c>
      <c r="C46" s="28">
        <f>IF(A46&gt;'Immobilien-Kalkulation'!$B$70*12,0,IF(AND('Immobilien-Kalkulation'!$B$72=1,B46&gt;'Immobilien-Kalkulation'!$B$69),'Immobilien-Kalkulation'!$B$73,'Immobilien-Kalkulation'!$B$65))</f>
        <v>3.5000000000000003E-2</v>
      </c>
      <c r="D46" s="53">
        <f>IF(A46&gt;'Immobilien-Kalkulation'!$B$70*12,0,I45)</f>
        <v>296087.26674045227</v>
      </c>
      <c r="E46" s="53">
        <f>IF(OR(A46&gt;'Immobilien-Kalkulation'!$B$70*12,D46&lt;=0),0,IF(AND('Immobilien-Kalkulation'!$B$72=1,B46&gt;'Immobilien-Kalkulation'!$B$69),MIN(D46*C46/12+'Immobilien-Kalkulation'!$B$74/12,D46*(1+C46/12)),MIN('Immobilien-Kalkulation'!$B$67,D46*(1+C46/12))))</f>
        <v>1429.9603560928113</v>
      </c>
      <c r="F46" s="53">
        <f>IF(OR(A46&gt;'Immobilien-Kalkulation'!$B$70*12,D46&lt;=0),0,D46*C46/12)</f>
        <v>863.58786132631928</v>
      </c>
      <c r="G46" s="53">
        <f>IF(OR(A46&gt;'Immobilien-Kalkulation'!$B$70*12,D46&lt;=0),0,MAX(0,MIN(D46,E46-F46)))</f>
        <v>566.37249476649197</v>
      </c>
      <c r="H46" s="95">
        <v>0</v>
      </c>
      <c r="I46" s="53">
        <f>IF(A46&gt;'Immobilien-Kalkulation'!$B$70*12,0,MAX(0,D46-G46-J46))</f>
        <v>295520.89424568578</v>
      </c>
      <c r="J46" s="53">
        <f>IF(OR(A46&gt;'Immobilien-Kalkulation'!$B$70*12,D46&lt;=0),0,MIN(H46,MAX(0,D46-G46)))</f>
        <v>0</v>
      </c>
      <c r="K46">
        <v>43</v>
      </c>
      <c r="L46" s="53">
        <f>IF(K46&gt;'Immobilien-Kalkulation'!$B$70,0,SUMIF($B$4:$B$603,K46,$F$4:$F$603))</f>
        <v>0</v>
      </c>
      <c r="M46" s="53">
        <f>IF(K46&gt;'Immobilien-Kalkulation'!$B$70,0,SUMIF($B$4:$B$603,K46,$E$4:$E$603)+SUMIF($B$4:$B$603,K46,$H$4:$H$603))</f>
        <v>0</v>
      </c>
      <c r="N46" s="53">
        <f>IF(K46&gt;'Immobilien-Kalkulation'!$B$70,0,SUMIF($B$4:$B$603,K46,$G$4:$G$603))</f>
        <v>0</v>
      </c>
      <c r="O46" s="53">
        <f>IF(K46&gt;'Immobilien-Kalkulation'!$B$70,0,SUMIF($B$4:$B$603,K46,$J$4:$J$603))</f>
        <v>0</v>
      </c>
      <c r="P46" s="53">
        <f>IF(K46&gt;'Immobilien-Kalkulation'!$B$70,0,IFERROR(INDEX($I$4:$I$603,K46*12),0))</f>
        <v>0</v>
      </c>
      <c r="Q46" t="str">
        <f>IF(K46&lt;='Immobilien-Kalkulation'!$B$70,"ja","—")</f>
        <v>—</v>
      </c>
    </row>
    <row r="47" spans="1:17" x14ac:dyDescent="0.25">
      <c r="A47">
        <v>44</v>
      </c>
      <c r="B47">
        <f t="shared" si="0"/>
        <v>4</v>
      </c>
      <c r="C47" s="28">
        <f>IF(A47&gt;'Immobilien-Kalkulation'!$B$70*12,0,IF(AND('Immobilien-Kalkulation'!$B$72=1,B47&gt;'Immobilien-Kalkulation'!$B$69),'Immobilien-Kalkulation'!$B$73,'Immobilien-Kalkulation'!$B$65))</f>
        <v>3.5000000000000003E-2</v>
      </c>
      <c r="D47" s="53">
        <f>IF(A47&gt;'Immobilien-Kalkulation'!$B$70*12,0,I46)</f>
        <v>295520.89424568578</v>
      </c>
      <c r="E47" s="53">
        <f>IF(OR(A47&gt;'Immobilien-Kalkulation'!$B$70*12,D47&lt;=0),0,IF(AND('Immobilien-Kalkulation'!$B$72=1,B47&gt;'Immobilien-Kalkulation'!$B$69),MIN(D47*C47/12+'Immobilien-Kalkulation'!$B$74/12,D47*(1+C47/12)),MIN('Immobilien-Kalkulation'!$B$67,D47*(1+C47/12))))</f>
        <v>1429.9603560928113</v>
      </c>
      <c r="F47" s="53">
        <f>IF(OR(A47&gt;'Immobilien-Kalkulation'!$B$70*12,D47&lt;=0),0,D47*C47/12)</f>
        <v>861.93594154991695</v>
      </c>
      <c r="G47" s="53">
        <f>IF(OR(A47&gt;'Immobilien-Kalkulation'!$B$70*12,D47&lt;=0),0,MAX(0,MIN(D47,E47-F47)))</f>
        <v>568.02441454289431</v>
      </c>
      <c r="H47" s="95">
        <v>0</v>
      </c>
      <c r="I47" s="53">
        <f>IF(A47&gt;'Immobilien-Kalkulation'!$B$70*12,0,MAX(0,D47-G47-J47))</f>
        <v>294952.86983114289</v>
      </c>
      <c r="J47" s="53">
        <f>IF(OR(A47&gt;'Immobilien-Kalkulation'!$B$70*12,D47&lt;=0),0,MIN(H47,MAX(0,D47-G47)))</f>
        <v>0</v>
      </c>
      <c r="K47">
        <v>44</v>
      </c>
      <c r="L47" s="53">
        <f>IF(K47&gt;'Immobilien-Kalkulation'!$B$70,0,SUMIF($B$4:$B$603,K47,$F$4:$F$603))</f>
        <v>0</v>
      </c>
      <c r="M47" s="53">
        <f>IF(K47&gt;'Immobilien-Kalkulation'!$B$70,0,SUMIF($B$4:$B$603,K47,$E$4:$E$603)+SUMIF($B$4:$B$603,K47,$H$4:$H$603))</f>
        <v>0</v>
      </c>
      <c r="N47" s="53">
        <f>IF(K47&gt;'Immobilien-Kalkulation'!$B$70,0,SUMIF($B$4:$B$603,K47,$G$4:$G$603))</f>
        <v>0</v>
      </c>
      <c r="O47" s="53">
        <f>IF(K47&gt;'Immobilien-Kalkulation'!$B$70,0,SUMIF($B$4:$B$603,K47,$J$4:$J$603))</f>
        <v>0</v>
      </c>
      <c r="P47" s="53">
        <f>IF(K47&gt;'Immobilien-Kalkulation'!$B$70,0,IFERROR(INDEX($I$4:$I$603,K47*12),0))</f>
        <v>0</v>
      </c>
      <c r="Q47" t="str">
        <f>IF(K47&lt;='Immobilien-Kalkulation'!$B$70,"ja","—")</f>
        <v>—</v>
      </c>
    </row>
    <row r="48" spans="1:17" x14ac:dyDescent="0.25">
      <c r="A48">
        <v>45</v>
      </c>
      <c r="B48">
        <f t="shared" si="0"/>
        <v>4</v>
      </c>
      <c r="C48" s="28">
        <f>IF(A48&gt;'Immobilien-Kalkulation'!$B$70*12,0,IF(AND('Immobilien-Kalkulation'!$B$72=1,B48&gt;'Immobilien-Kalkulation'!$B$69),'Immobilien-Kalkulation'!$B$73,'Immobilien-Kalkulation'!$B$65))</f>
        <v>3.5000000000000003E-2</v>
      </c>
      <c r="D48" s="53">
        <f>IF(A48&gt;'Immobilien-Kalkulation'!$B$70*12,0,I47)</f>
        <v>294952.86983114289</v>
      </c>
      <c r="E48" s="53">
        <f>IF(OR(A48&gt;'Immobilien-Kalkulation'!$B$70*12,D48&lt;=0),0,IF(AND('Immobilien-Kalkulation'!$B$72=1,B48&gt;'Immobilien-Kalkulation'!$B$69),MIN(D48*C48/12+'Immobilien-Kalkulation'!$B$74/12,D48*(1+C48/12)),MIN('Immobilien-Kalkulation'!$B$67,D48*(1+C48/12))))</f>
        <v>1429.9603560928113</v>
      </c>
      <c r="F48" s="53">
        <f>IF(OR(A48&gt;'Immobilien-Kalkulation'!$B$70*12,D48&lt;=0),0,D48*C48/12)</f>
        <v>860.27920367416675</v>
      </c>
      <c r="G48" s="53">
        <f>IF(OR(A48&gt;'Immobilien-Kalkulation'!$B$70*12,D48&lt;=0),0,MAX(0,MIN(D48,E48-F48)))</f>
        <v>569.6811524186445</v>
      </c>
      <c r="H48" s="95">
        <v>0</v>
      </c>
      <c r="I48" s="53">
        <f>IF(A48&gt;'Immobilien-Kalkulation'!$B$70*12,0,MAX(0,D48-G48-J48))</f>
        <v>294383.18867872423</v>
      </c>
      <c r="J48" s="53">
        <f>IF(OR(A48&gt;'Immobilien-Kalkulation'!$B$70*12,D48&lt;=0),0,MIN(H48,MAX(0,D48-G48)))</f>
        <v>0</v>
      </c>
      <c r="K48">
        <v>45</v>
      </c>
      <c r="L48" s="53">
        <f>IF(K48&gt;'Immobilien-Kalkulation'!$B$70,0,SUMIF($B$4:$B$603,K48,$F$4:$F$603))</f>
        <v>0</v>
      </c>
      <c r="M48" s="53">
        <f>IF(K48&gt;'Immobilien-Kalkulation'!$B$70,0,SUMIF($B$4:$B$603,K48,$E$4:$E$603)+SUMIF($B$4:$B$603,K48,$H$4:$H$603))</f>
        <v>0</v>
      </c>
      <c r="N48" s="53">
        <f>IF(K48&gt;'Immobilien-Kalkulation'!$B$70,0,SUMIF($B$4:$B$603,K48,$G$4:$G$603))</f>
        <v>0</v>
      </c>
      <c r="O48" s="53">
        <f>IF(K48&gt;'Immobilien-Kalkulation'!$B$70,0,SUMIF($B$4:$B$603,K48,$J$4:$J$603))</f>
        <v>0</v>
      </c>
      <c r="P48" s="53">
        <f>IF(K48&gt;'Immobilien-Kalkulation'!$B$70,0,IFERROR(INDEX($I$4:$I$603,K48*12),0))</f>
        <v>0</v>
      </c>
      <c r="Q48" t="str">
        <f>IF(K48&lt;='Immobilien-Kalkulation'!$B$70,"ja","—")</f>
        <v>—</v>
      </c>
    </row>
    <row r="49" spans="1:17" x14ac:dyDescent="0.25">
      <c r="A49">
        <v>46</v>
      </c>
      <c r="B49">
        <f t="shared" si="0"/>
        <v>4</v>
      </c>
      <c r="C49" s="28">
        <f>IF(A49&gt;'Immobilien-Kalkulation'!$B$70*12,0,IF(AND('Immobilien-Kalkulation'!$B$72=1,B49&gt;'Immobilien-Kalkulation'!$B$69),'Immobilien-Kalkulation'!$B$73,'Immobilien-Kalkulation'!$B$65))</f>
        <v>3.5000000000000003E-2</v>
      </c>
      <c r="D49" s="53">
        <f>IF(A49&gt;'Immobilien-Kalkulation'!$B$70*12,0,I48)</f>
        <v>294383.18867872423</v>
      </c>
      <c r="E49" s="53">
        <f>IF(OR(A49&gt;'Immobilien-Kalkulation'!$B$70*12,D49&lt;=0),0,IF(AND('Immobilien-Kalkulation'!$B$72=1,B49&gt;'Immobilien-Kalkulation'!$B$69),MIN(D49*C49/12+'Immobilien-Kalkulation'!$B$74/12,D49*(1+C49/12)),MIN('Immobilien-Kalkulation'!$B$67,D49*(1+C49/12))))</f>
        <v>1429.9603560928113</v>
      </c>
      <c r="F49" s="53">
        <f>IF(OR(A49&gt;'Immobilien-Kalkulation'!$B$70*12,D49&lt;=0),0,D49*C49/12)</f>
        <v>858.61763364627905</v>
      </c>
      <c r="G49" s="53">
        <f>IF(OR(A49&gt;'Immobilien-Kalkulation'!$B$70*12,D49&lt;=0),0,MAX(0,MIN(D49,E49-F49)))</f>
        <v>571.34272244653221</v>
      </c>
      <c r="H49" s="95">
        <v>0</v>
      </c>
      <c r="I49" s="53">
        <f>IF(A49&gt;'Immobilien-Kalkulation'!$B$70*12,0,MAX(0,D49-G49-J49))</f>
        <v>293811.84595627768</v>
      </c>
      <c r="J49" s="53">
        <f>IF(OR(A49&gt;'Immobilien-Kalkulation'!$B$70*12,D49&lt;=0),0,MIN(H49,MAX(0,D49-G49)))</f>
        <v>0</v>
      </c>
      <c r="K49">
        <v>46</v>
      </c>
      <c r="L49" s="53">
        <f>IF(K49&gt;'Immobilien-Kalkulation'!$B$70,0,SUMIF($B$4:$B$603,K49,$F$4:$F$603))</f>
        <v>0</v>
      </c>
      <c r="M49" s="53">
        <f>IF(K49&gt;'Immobilien-Kalkulation'!$B$70,0,SUMIF($B$4:$B$603,K49,$E$4:$E$603)+SUMIF($B$4:$B$603,K49,$H$4:$H$603))</f>
        <v>0</v>
      </c>
      <c r="N49" s="53">
        <f>IF(K49&gt;'Immobilien-Kalkulation'!$B$70,0,SUMIF($B$4:$B$603,K49,$G$4:$G$603))</f>
        <v>0</v>
      </c>
      <c r="O49" s="53">
        <f>IF(K49&gt;'Immobilien-Kalkulation'!$B$70,0,SUMIF($B$4:$B$603,K49,$J$4:$J$603))</f>
        <v>0</v>
      </c>
      <c r="P49" s="53">
        <f>IF(K49&gt;'Immobilien-Kalkulation'!$B$70,0,IFERROR(INDEX($I$4:$I$603,K49*12),0))</f>
        <v>0</v>
      </c>
      <c r="Q49" t="str">
        <f>IF(K49&lt;='Immobilien-Kalkulation'!$B$70,"ja","—")</f>
        <v>—</v>
      </c>
    </row>
    <row r="50" spans="1:17" x14ac:dyDescent="0.25">
      <c r="A50">
        <v>47</v>
      </c>
      <c r="B50">
        <f t="shared" si="0"/>
        <v>4</v>
      </c>
      <c r="C50" s="28">
        <f>IF(A50&gt;'Immobilien-Kalkulation'!$B$70*12,0,IF(AND('Immobilien-Kalkulation'!$B$72=1,B50&gt;'Immobilien-Kalkulation'!$B$69),'Immobilien-Kalkulation'!$B$73,'Immobilien-Kalkulation'!$B$65))</f>
        <v>3.5000000000000003E-2</v>
      </c>
      <c r="D50" s="53">
        <f>IF(A50&gt;'Immobilien-Kalkulation'!$B$70*12,0,I49)</f>
        <v>293811.84595627768</v>
      </c>
      <c r="E50" s="53">
        <f>IF(OR(A50&gt;'Immobilien-Kalkulation'!$B$70*12,D50&lt;=0),0,IF(AND('Immobilien-Kalkulation'!$B$72=1,B50&gt;'Immobilien-Kalkulation'!$B$69),MIN(D50*C50/12+'Immobilien-Kalkulation'!$B$74/12,D50*(1+C50/12)),MIN('Immobilien-Kalkulation'!$B$67,D50*(1+C50/12))))</f>
        <v>1429.9603560928113</v>
      </c>
      <c r="F50" s="53">
        <f>IF(OR(A50&gt;'Immobilien-Kalkulation'!$B$70*12,D50&lt;=0),0,D50*C50/12)</f>
        <v>856.95121737247666</v>
      </c>
      <c r="G50" s="53">
        <f>IF(OR(A50&gt;'Immobilien-Kalkulation'!$B$70*12,D50&lt;=0),0,MAX(0,MIN(D50,E50-F50)))</f>
        <v>573.00913872033459</v>
      </c>
      <c r="H50" s="95">
        <v>0</v>
      </c>
      <c r="I50" s="53">
        <f>IF(A50&gt;'Immobilien-Kalkulation'!$B$70*12,0,MAX(0,D50-G50-J50))</f>
        <v>293238.83681755734</v>
      </c>
      <c r="J50" s="53">
        <f>IF(OR(A50&gt;'Immobilien-Kalkulation'!$B$70*12,D50&lt;=0),0,MIN(H50,MAX(0,D50-G50)))</f>
        <v>0</v>
      </c>
      <c r="K50">
        <v>47</v>
      </c>
      <c r="L50" s="53">
        <f>IF(K50&gt;'Immobilien-Kalkulation'!$B$70,0,SUMIF($B$4:$B$603,K50,$F$4:$F$603))</f>
        <v>0</v>
      </c>
      <c r="M50" s="53">
        <f>IF(K50&gt;'Immobilien-Kalkulation'!$B$70,0,SUMIF($B$4:$B$603,K50,$E$4:$E$603)+SUMIF($B$4:$B$603,K50,$H$4:$H$603))</f>
        <v>0</v>
      </c>
      <c r="N50" s="53">
        <f>IF(K50&gt;'Immobilien-Kalkulation'!$B$70,0,SUMIF($B$4:$B$603,K50,$G$4:$G$603))</f>
        <v>0</v>
      </c>
      <c r="O50" s="53">
        <f>IF(K50&gt;'Immobilien-Kalkulation'!$B$70,0,SUMIF($B$4:$B$603,K50,$J$4:$J$603))</f>
        <v>0</v>
      </c>
      <c r="P50" s="53">
        <f>IF(K50&gt;'Immobilien-Kalkulation'!$B$70,0,IFERROR(INDEX($I$4:$I$603,K50*12),0))</f>
        <v>0</v>
      </c>
      <c r="Q50" t="str">
        <f>IF(K50&lt;='Immobilien-Kalkulation'!$B$70,"ja","—")</f>
        <v>—</v>
      </c>
    </row>
    <row r="51" spans="1:17" x14ac:dyDescent="0.25">
      <c r="A51">
        <v>48</v>
      </c>
      <c r="B51">
        <f t="shared" si="0"/>
        <v>4</v>
      </c>
      <c r="C51" s="28">
        <f>IF(A51&gt;'Immobilien-Kalkulation'!$B$70*12,0,IF(AND('Immobilien-Kalkulation'!$B$72=1,B51&gt;'Immobilien-Kalkulation'!$B$69),'Immobilien-Kalkulation'!$B$73,'Immobilien-Kalkulation'!$B$65))</f>
        <v>3.5000000000000003E-2</v>
      </c>
      <c r="D51" s="53">
        <f>IF(A51&gt;'Immobilien-Kalkulation'!$B$70*12,0,I50)</f>
        <v>293238.83681755734</v>
      </c>
      <c r="E51" s="53">
        <f>IF(OR(A51&gt;'Immobilien-Kalkulation'!$B$70*12,D51&lt;=0),0,IF(AND('Immobilien-Kalkulation'!$B$72=1,B51&gt;'Immobilien-Kalkulation'!$B$69),MIN(D51*C51/12+'Immobilien-Kalkulation'!$B$74/12,D51*(1+C51/12)),MIN('Immobilien-Kalkulation'!$B$67,D51*(1+C51/12))))</f>
        <v>1429.9603560928113</v>
      </c>
      <c r="F51" s="53">
        <f>IF(OR(A51&gt;'Immobilien-Kalkulation'!$B$70*12,D51&lt;=0),0,D51*C51/12)</f>
        <v>855.27994071787555</v>
      </c>
      <c r="G51" s="53">
        <f>IF(OR(A51&gt;'Immobilien-Kalkulation'!$B$70*12,D51&lt;=0),0,MAX(0,MIN(D51,E51-F51)))</f>
        <v>574.68041537493571</v>
      </c>
      <c r="H51" s="95">
        <v>0</v>
      </c>
      <c r="I51" s="53">
        <f>IF(A51&gt;'Immobilien-Kalkulation'!$B$70*12,0,MAX(0,D51-G51-J51))</f>
        <v>292664.15640218242</v>
      </c>
      <c r="J51" s="53">
        <f>IF(OR(A51&gt;'Immobilien-Kalkulation'!$B$70*12,D51&lt;=0),0,MIN(H51,MAX(0,D51-G51)))</f>
        <v>0</v>
      </c>
      <c r="K51">
        <v>48</v>
      </c>
      <c r="L51" s="53">
        <f>IF(K51&gt;'Immobilien-Kalkulation'!$B$70,0,SUMIF($B$4:$B$603,K51,$F$4:$F$603))</f>
        <v>0</v>
      </c>
      <c r="M51" s="53">
        <f>IF(K51&gt;'Immobilien-Kalkulation'!$B$70,0,SUMIF($B$4:$B$603,K51,$E$4:$E$603)+SUMIF($B$4:$B$603,K51,$H$4:$H$603))</f>
        <v>0</v>
      </c>
      <c r="N51" s="53">
        <f>IF(K51&gt;'Immobilien-Kalkulation'!$B$70,0,SUMIF($B$4:$B$603,K51,$G$4:$G$603))</f>
        <v>0</v>
      </c>
      <c r="O51" s="53">
        <f>IF(K51&gt;'Immobilien-Kalkulation'!$B$70,0,SUMIF($B$4:$B$603,K51,$J$4:$J$603))</f>
        <v>0</v>
      </c>
      <c r="P51" s="53">
        <f>IF(K51&gt;'Immobilien-Kalkulation'!$B$70,0,IFERROR(INDEX($I$4:$I$603,K51*12),0))</f>
        <v>0</v>
      </c>
      <c r="Q51" t="str">
        <f>IF(K51&lt;='Immobilien-Kalkulation'!$B$70,"ja","—")</f>
        <v>—</v>
      </c>
    </row>
    <row r="52" spans="1:17" x14ac:dyDescent="0.25">
      <c r="A52">
        <v>49</v>
      </c>
      <c r="B52">
        <f t="shared" si="0"/>
        <v>5</v>
      </c>
      <c r="C52" s="28">
        <f>IF(A52&gt;'Immobilien-Kalkulation'!$B$70*12,0,IF(AND('Immobilien-Kalkulation'!$B$72=1,B52&gt;'Immobilien-Kalkulation'!$B$69),'Immobilien-Kalkulation'!$B$73,'Immobilien-Kalkulation'!$B$65))</f>
        <v>3.5000000000000003E-2</v>
      </c>
      <c r="D52" s="53">
        <f>IF(A52&gt;'Immobilien-Kalkulation'!$B$70*12,0,I51)</f>
        <v>292664.15640218242</v>
      </c>
      <c r="E52" s="53">
        <f>IF(OR(A52&gt;'Immobilien-Kalkulation'!$B$70*12,D52&lt;=0),0,IF(AND('Immobilien-Kalkulation'!$B$72=1,B52&gt;'Immobilien-Kalkulation'!$B$69),MIN(D52*C52/12+'Immobilien-Kalkulation'!$B$74/12,D52*(1+C52/12)),MIN('Immobilien-Kalkulation'!$B$67,D52*(1+C52/12))))</f>
        <v>1429.9603560928113</v>
      </c>
      <c r="F52" s="53">
        <f>IF(OR(A52&gt;'Immobilien-Kalkulation'!$B$70*12,D52&lt;=0),0,D52*C52/12)</f>
        <v>853.6037895063655</v>
      </c>
      <c r="G52" s="53">
        <f>IF(OR(A52&gt;'Immobilien-Kalkulation'!$B$70*12,D52&lt;=0),0,MAX(0,MIN(D52,E52-F52)))</f>
        <v>576.35656658644575</v>
      </c>
      <c r="H52" s="95">
        <v>0</v>
      </c>
      <c r="I52" s="53">
        <f>IF(A52&gt;'Immobilien-Kalkulation'!$B$70*12,0,MAX(0,D52-G52-J52))</f>
        <v>292087.79983559594</v>
      </c>
      <c r="J52" s="53">
        <f>IF(OR(A52&gt;'Immobilien-Kalkulation'!$B$70*12,D52&lt;=0),0,MIN(H52,MAX(0,D52-G52)))</f>
        <v>0</v>
      </c>
      <c r="K52">
        <v>49</v>
      </c>
      <c r="L52" s="53">
        <f>IF(K52&gt;'Immobilien-Kalkulation'!$B$70,0,SUMIF($B$4:$B$603,K52,$F$4:$F$603))</f>
        <v>0</v>
      </c>
      <c r="M52" s="53">
        <f>IF(K52&gt;'Immobilien-Kalkulation'!$B$70,0,SUMIF($B$4:$B$603,K52,$E$4:$E$603)+SUMIF($B$4:$B$603,K52,$H$4:$H$603))</f>
        <v>0</v>
      </c>
      <c r="N52" s="53">
        <f>IF(K52&gt;'Immobilien-Kalkulation'!$B$70,0,SUMIF($B$4:$B$603,K52,$G$4:$G$603))</f>
        <v>0</v>
      </c>
      <c r="O52" s="53">
        <f>IF(K52&gt;'Immobilien-Kalkulation'!$B$70,0,SUMIF($B$4:$B$603,K52,$J$4:$J$603))</f>
        <v>0</v>
      </c>
      <c r="P52" s="53">
        <f>IF(K52&gt;'Immobilien-Kalkulation'!$B$70,0,IFERROR(INDEX($I$4:$I$603,K52*12),0))</f>
        <v>0</v>
      </c>
      <c r="Q52" t="str">
        <f>IF(K52&lt;='Immobilien-Kalkulation'!$B$70,"ja","—")</f>
        <v>—</v>
      </c>
    </row>
    <row r="53" spans="1:17" x14ac:dyDescent="0.25">
      <c r="A53">
        <v>50</v>
      </c>
      <c r="B53">
        <f t="shared" si="0"/>
        <v>5</v>
      </c>
      <c r="C53" s="28">
        <f>IF(A53&gt;'Immobilien-Kalkulation'!$B$70*12,0,IF(AND('Immobilien-Kalkulation'!$B$72=1,B53&gt;'Immobilien-Kalkulation'!$B$69),'Immobilien-Kalkulation'!$B$73,'Immobilien-Kalkulation'!$B$65))</f>
        <v>3.5000000000000003E-2</v>
      </c>
      <c r="D53" s="53">
        <f>IF(A53&gt;'Immobilien-Kalkulation'!$B$70*12,0,I52)</f>
        <v>292087.79983559594</v>
      </c>
      <c r="E53" s="53">
        <f>IF(OR(A53&gt;'Immobilien-Kalkulation'!$B$70*12,D53&lt;=0),0,IF(AND('Immobilien-Kalkulation'!$B$72=1,B53&gt;'Immobilien-Kalkulation'!$B$69),MIN(D53*C53/12+'Immobilien-Kalkulation'!$B$74/12,D53*(1+C53/12)),MIN('Immobilien-Kalkulation'!$B$67,D53*(1+C53/12))))</f>
        <v>1429.9603560928113</v>
      </c>
      <c r="F53" s="53">
        <f>IF(OR(A53&gt;'Immobilien-Kalkulation'!$B$70*12,D53&lt;=0),0,D53*C53/12)</f>
        <v>851.9227495204882</v>
      </c>
      <c r="G53" s="53">
        <f>IF(OR(A53&gt;'Immobilien-Kalkulation'!$B$70*12,D53&lt;=0),0,MAX(0,MIN(D53,E53-F53)))</f>
        <v>578.03760657232306</v>
      </c>
      <c r="H53" s="95">
        <v>0</v>
      </c>
      <c r="I53" s="53">
        <f>IF(A53&gt;'Immobilien-Kalkulation'!$B$70*12,0,MAX(0,D53-G53-J53))</f>
        <v>291509.76222902362</v>
      </c>
      <c r="J53" s="53">
        <f>IF(OR(A53&gt;'Immobilien-Kalkulation'!$B$70*12,D53&lt;=0),0,MIN(H53,MAX(0,D53-G53)))</f>
        <v>0</v>
      </c>
      <c r="K53">
        <v>50</v>
      </c>
      <c r="L53" s="53">
        <f>IF(K53&gt;'Immobilien-Kalkulation'!$B$70,0,SUMIF($B$4:$B$603,K53,$F$4:$F$603))</f>
        <v>0</v>
      </c>
      <c r="M53" s="53">
        <f>IF(K53&gt;'Immobilien-Kalkulation'!$B$70,0,SUMIF($B$4:$B$603,K53,$E$4:$E$603)+SUMIF($B$4:$B$603,K53,$H$4:$H$603))</f>
        <v>0</v>
      </c>
      <c r="N53" s="53">
        <f>IF(K53&gt;'Immobilien-Kalkulation'!$B$70,0,SUMIF($B$4:$B$603,K53,$G$4:$G$603))</f>
        <v>0</v>
      </c>
      <c r="O53" s="53">
        <f>IF(K53&gt;'Immobilien-Kalkulation'!$B$70,0,SUMIF($B$4:$B$603,K53,$J$4:$J$603))</f>
        <v>0</v>
      </c>
      <c r="P53" s="53">
        <f>IF(K53&gt;'Immobilien-Kalkulation'!$B$70,0,IFERROR(INDEX($I$4:$I$603,K53*12),0))</f>
        <v>0</v>
      </c>
      <c r="Q53" t="str">
        <f>IF(K53&lt;='Immobilien-Kalkulation'!$B$70,"ja","—")</f>
        <v>—</v>
      </c>
    </row>
    <row r="54" spans="1:17" x14ac:dyDescent="0.25">
      <c r="A54">
        <v>51</v>
      </c>
      <c r="B54">
        <f t="shared" si="0"/>
        <v>5</v>
      </c>
      <c r="C54" s="28">
        <f>IF(A54&gt;'Immobilien-Kalkulation'!$B$70*12,0,IF(AND('Immobilien-Kalkulation'!$B$72=1,B54&gt;'Immobilien-Kalkulation'!$B$69),'Immobilien-Kalkulation'!$B$73,'Immobilien-Kalkulation'!$B$65))</f>
        <v>3.5000000000000003E-2</v>
      </c>
      <c r="D54" s="53">
        <f>IF(A54&gt;'Immobilien-Kalkulation'!$B$70*12,0,I53)</f>
        <v>291509.76222902362</v>
      </c>
      <c r="E54" s="53">
        <f>IF(OR(A54&gt;'Immobilien-Kalkulation'!$B$70*12,D54&lt;=0),0,IF(AND('Immobilien-Kalkulation'!$B$72=1,B54&gt;'Immobilien-Kalkulation'!$B$69),MIN(D54*C54/12+'Immobilien-Kalkulation'!$B$74/12,D54*(1+C54/12)),MIN('Immobilien-Kalkulation'!$B$67,D54*(1+C54/12))))</f>
        <v>1429.9603560928113</v>
      </c>
      <c r="F54" s="53">
        <f>IF(OR(A54&gt;'Immobilien-Kalkulation'!$B$70*12,D54&lt;=0),0,D54*C54/12)</f>
        <v>850.23680650131894</v>
      </c>
      <c r="G54" s="53">
        <f>IF(OR(A54&gt;'Immobilien-Kalkulation'!$B$70*12,D54&lt;=0),0,MAX(0,MIN(D54,E54-F54)))</f>
        <v>579.72354959149231</v>
      </c>
      <c r="H54" s="95">
        <v>0</v>
      </c>
      <c r="I54" s="53">
        <f>IF(A54&gt;'Immobilien-Kalkulation'!$B$70*12,0,MAX(0,D54-G54-J54))</f>
        <v>290930.03867943212</v>
      </c>
      <c r="J54" s="53">
        <f>IF(OR(A54&gt;'Immobilien-Kalkulation'!$B$70*12,D54&lt;=0),0,MIN(H54,MAX(0,D54-G54)))</f>
        <v>0</v>
      </c>
    </row>
    <row r="55" spans="1:17" x14ac:dyDescent="0.25">
      <c r="A55">
        <v>52</v>
      </c>
      <c r="B55">
        <f t="shared" si="0"/>
        <v>5</v>
      </c>
      <c r="C55" s="28">
        <f>IF(A55&gt;'Immobilien-Kalkulation'!$B$70*12,0,IF(AND('Immobilien-Kalkulation'!$B$72=1,B55&gt;'Immobilien-Kalkulation'!$B$69),'Immobilien-Kalkulation'!$B$73,'Immobilien-Kalkulation'!$B$65))</f>
        <v>3.5000000000000003E-2</v>
      </c>
      <c r="D55" s="53">
        <f>IF(A55&gt;'Immobilien-Kalkulation'!$B$70*12,0,I54)</f>
        <v>290930.03867943212</v>
      </c>
      <c r="E55" s="53">
        <f>IF(OR(A55&gt;'Immobilien-Kalkulation'!$B$70*12,D55&lt;=0),0,IF(AND('Immobilien-Kalkulation'!$B$72=1,B55&gt;'Immobilien-Kalkulation'!$B$69),MIN(D55*C55/12+'Immobilien-Kalkulation'!$B$74/12,D55*(1+C55/12)),MIN('Immobilien-Kalkulation'!$B$67,D55*(1+C55/12))))</f>
        <v>1429.9603560928113</v>
      </c>
      <c r="F55" s="53">
        <f>IF(OR(A55&gt;'Immobilien-Kalkulation'!$B$70*12,D55&lt;=0),0,D55*C55/12)</f>
        <v>848.54594614834377</v>
      </c>
      <c r="G55" s="53">
        <f>IF(OR(A55&gt;'Immobilien-Kalkulation'!$B$70*12,D55&lt;=0),0,MAX(0,MIN(D55,E55-F55)))</f>
        <v>581.41440994446748</v>
      </c>
      <c r="H55" s="95">
        <v>0</v>
      </c>
      <c r="I55" s="53">
        <f>IF(A55&gt;'Immobilien-Kalkulation'!$B$70*12,0,MAX(0,D55-G55-J55))</f>
        <v>290348.62426948769</v>
      </c>
      <c r="J55" s="53">
        <f>IF(OR(A55&gt;'Immobilien-Kalkulation'!$B$70*12,D55&lt;=0),0,MIN(H55,MAX(0,D55-G55)))</f>
        <v>0</v>
      </c>
    </row>
    <row r="56" spans="1:17" x14ac:dyDescent="0.25">
      <c r="A56">
        <v>53</v>
      </c>
      <c r="B56">
        <f t="shared" si="0"/>
        <v>5</v>
      </c>
      <c r="C56" s="28">
        <f>IF(A56&gt;'Immobilien-Kalkulation'!$B$70*12,0,IF(AND('Immobilien-Kalkulation'!$B$72=1,B56&gt;'Immobilien-Kalkulation'!$B$69),'Immobilien-Kalkulation'!$B$73,'Immobilien-Kalkulation'!$B$65))</f>
        <v>3.5000000000000003E-2</v>
      </c>
      <c r="D56" s="53">
        <f>IF(A56&gt;'Immobilien-Kalkulation'!$B$70*12,0,I55)</f>
        <v>290348.62426948769</v>
      </c>
      <c r="E56" s="53">
        <f>IF(OR(A56&gt;'Immobilien-Kalkulation'!$B$70*12,D56&lt;=0),0,IF(AND('Immobilien-Kalkulation'!$B$72=1,B56&gt;'Immobilien-Kalkulation'!$B$69),MIN(D56*C56/12+'Immobilien-Kalkulation'!$B$74/12,D56*(1+C56/12)),MIN('Immobilien-Kalkulation'!$B$67,D56*(1+C56/12))))</f>
        <v>1429.9603560928113</v>
      </c>
      <c r="F56" s="53">
        <f>IF(OR(A56&gt;'Immobilien-Kalkulation'!$B$70*12,D56&lt;=0),0,D56*C56/12)</f>
        <v>846.85015411933909</v>
      </c>
      <c r="G56" s="53">
        <f>IF(OR(A56&gt;'Immobilien-Kalkulation'!$B$70*12,D56&lt;=0),0,MAX(0,MIN(D56,E56-F56)))</f>
        <v>583.11020197347216</v>
      </c>
      <c r="H56" s="95">
        <v>0</v>
      </c>
      <c r="I56" s="53">
        <f>IF(A56&gt;'Immobilien-Kalkulation'!$B$70*12,0,MAX(0,D56-G56-J56))</f>
        <v>289765.51406751422</v>
      </c>
      <c r="J56" s="53">
        <f>IF(OR(A56&gt;'Immobilien-Kalkulation'!$B$70*12,D56&lt;=0),0,MIN(H56,MAX(0,D56-G56)))</f>
        <v>0</v>
      </c>
    </row>
    <row r="57" spans="1:17" x14ac:dyDescent="0.25">
      <c r="A57">
        <v>54</v>
      </c>
      <c r="B57">
        <f t="shared" si="0"/>
        <v>5</v>
      </c>
      <c r="C57" s="28">
        <f>IF(A57&gt;'Immobilien-Kalkulation'!$B$70*12,0,IF(AND('Immobilien-Kalkulation'!$B$72=1,B57&gt;'Immobilien-Kalkulation'!$B$69),'Immobilien-Kalkulation'!$B$73,'Immobilien-Kalkulation'!$B$65))</f>
        <v>3.5000000000000003E-2</v>
      </c>
      <c r="D57" s="53">
        <f>IF(A57&gt;'Immobilien-Kalkulation'!$B$70*12,0,I56)</f>
        <v>289765.51406751422</v>
      </c>
      <c r="E57" s="53">
        <f>IF(OR(A57&gt;'Immobilien-Kalkulation'!$B$70*12,D57&lt;=0),0,IF(AND('Immobilien-Kalkulation'!$B$72=1,B57&gt;'Immobilien-Kalkulation'!$B$69),MIN(D57*C57/12+'Immobilien-Kalkulation'!$B$74/12,D57*(1+C57/12)),MIN('Immobilien-Kalkulation'!$B$67,D57*(1+C57/12))))</f>
        <v>1429.9603560928113</v>
      </c>
      <c r="F57" s="53">
        <f>IF(OR(A57&gt;'Immobilien-Kalkulation'!$B$70*12,D57&lt;=0),0,D57*C57/12)</f>
        <v>845.14941603024988</v>
      </c>
      <c r="G57" s="53">
        <f>IF(OR(A57&gt;'Immobilien-Kalkulation'!$B$70*12,D57&lt;=0),0,MAX(0,MIN(D57,E57-F57)))</f>
        <v>584.81094006256137</v>
      </c>
      <c r="H57" s="95">
        <v>0</v>
      </c>
      <c r="I57" s="53">
        <f>IF(A57&gt;'Immobilien-Kalkulation'!$B$70*12,0,MAX(0,D57-G57-J57))</f>
        <v>289180.70312745165</v>
      </c>
      <c r="J57" s="53">
        <f>IF(OR(A57&gt;'Immobilien-Kalkulation'!$B$70*12,D57&lt;=0),0,MIN(H57,MAX(0,D57-G57)))</f>
        <v>0</v>
      </c>
    </row>
    <row r="58" spans="1:17" x14ac:dyDescent="0.25">
      <c r="A58">
        <v>55</v>
      </c>
      <c r="B58">
        <f t="shared" si="0"/>
        <v>5</v>
      </c>
      <c r="C58" s="28">
        <f>IF(A58&gt;'Immobilien-Kalkulation'!$B$70*12,0,IF(AND('Immobilien-Kalkulation'!$B$72=1,B58&gt;'Immobilien-Kalkulation'!$B$69),'Immobilien-Kalkulation'!$B$73,'Immobilien-Kalkulation'!$B$65))</f>
        <v>3.5000000000000003E-2</v>
      </c>
      <c r="D58" s="53">
        <f>IF(A58&gt;'Immobilien-Kalkulation'!$B$70*12,0,I57)</f>
        <v>289180.70312745165</v>
      </c>
      <c r="E58" s="53">
        <f>IF(OR(A58&gt;'Immobilien-Kalkulation'!$B$70*12,D58&lt;=0),0,IF(AND('Immobilien-Kalkulation'!$B$72=1,B58&gt;'Immobilien-Kalkulation'!$B$69),MIN(D58*C58/12+'Immobilien-Kalkulation'!$B$74/12,D58*(1+C58/12)),MIN('Immobilien-Kalkulation'!$B$67,D58*(1+C58/12))))</f>
        <v>1429.9603560928113</v>
      </c>
      <c r="F58" s="53">
        <f>IF(OR(A58&gt;'Immobilien-Kalkulation'!$B$70*12,D58&lt;=0),0,D58*C58/12)</f>
        <v>843.44371745506749</v>
      </c>
      <c r="G58" s="53">
        <f>IF(OR(A58&gt;'Immobilien-Kalkulation'!$B$70*12,D58&lt;=0),0,MAX(0,MIN(D58,E58-F58)))</f>
        <v>586.51663863774377</v>
      </c>
      <c r="H58" s="95">
        <v>0</v>
      </c>
      <c r="I58" s="53">
        <f>IF(A58&gt;'Immobilien-Kalkulation'!$B$70*12,0,MAX(0,D58-G58-J58))</f>
        <v>288594.1864888139</v>
      </c>
      <c r="J58" s="53">
        <f>IF(OR(A58&gt;'Immobilien-Kalkulation'!$B$70*12,D58&lt;=0),0,MIN(H58,MAX(0,D58-G58)))</f>
        <v>0</v>
      </c>
    </row>
    <row r="59" spans="1:17" x14ac:dyDescent="0.25">
      <c r="A59">
        <v>56</v>
      </c>
      <c r="B59">
        <f t="shared" si="0"/>
        <v>5</v>
      </c>
      <c r="C59" s="28">
        <f>IF(A59&gt;'Immobilien-Kalkulation'!$B$70*12,0,IF(AND('Immobilien-Kalkulation'!$B$72=1,B59&gt;'Immobilien-Kalkulation'!$B$69),'Immobilien-Kalkulation'!$B$73,'Immobilien-Kalkulation'!$B$65))</f>
        <v>3.5000000000000003E-2</v>
      </c>
      <c r="D59" s="53">
        <f>IF(A59&gt;'Immobilien-Kalkulation'!$B$70*12,0,I58)</f>
        <v>288594.1864888139</v>
      </c>
      <c r="E59" s="53">
        <f>IF(OR(A59&gt;'Immobilien-Kalkulation'!$B$70*12,D59&lt;=0),0,IF(AND('Immobilien-Kalkulation'!$B$72=1,B59&gt;'Immobilien-Kalkulation'!$B$69),MIN(D59*C59/12+'Immobilien-Kalkulation'!$B$74/12,D59*(1+C59/12)),MIN('Immobilien-Kalkulation'!$B$67,D59*(1+C59/12))))</f>
        <v>1429.9603560928113</v>
      </c>
      <c r="F59" s="53">
        <f>IF(OR(A59&gt;'Immobilien-Kalkulation'!$B$70*12,D59&lt;=0),0,D59*C59/12)</f>
        <v>841.73304392570719</v>
      </c>
      <c r="G59" s="53">
        <f>IF(OR(A59&gt;'Immobilien-Kalkulation'!$B$70*12,D59&lt;=0),0,MAX(0,MIN(D59,E59-F59)))</f>
        <v>588.22731216710406</v>
      </c>
      <c r="H59" s="95">
        <v>0</v>
      </c>
      <c r="I59" s="53">
        <f>IF(A59&gt;'Immobilien-Kalkulation'!$B$70*12,0,MAX(0,D59-G59-J59))</f>
        <v>288005.95917664678</v>
      </c>
      <c r="J59" s="53">
        <f>IF(OR(A59&gt;'Immobilien-Kalkulation'!$B$70*12,D59&lt;=0),0,MIN(H59,MAX(0,D59-G59)))</f>
        <v>0</v>
      </c>
    </row>
    <row r="60" spans="1:17" x14ac:dyDescent="0.25">
      <c r="A60">
        <v>57</v>
      </c>
      <c r="B60">
        <f t="shared" si="0"/>
        <v>5</v>
      </c>
      <c r="C60" s="28">
        <f>IF(A60&gt;'Immobilien-Kalkulation'!$B$70*12,0,IF(AND('Immobilien-Kalkulation'!$B$72=1,B60&gt;'Immobilien-Kalkulation'!$B$69),'Immobilien-Kalkulation'!$B$73,'Immobilien-Kalkulation'!$B$65))</f>
        <v>3.5000000000000003E-2</v>
      </c>
      <c r="D60" s="53">
        <f>IF(A60&gt;'Immobilien-Kalkulation'!$B$70*12,0,I59)</f>
        <v>288005.95917664678</v>
      </c>
      <c r="E60" s="53">
        <f>IF(OR(A60&gt;'Immobilien-Kalkulation'!$B$70*12,D60&lt;=0),0,IF(AND('Immobilien-Kalkulation'!$B$72=1,B60&gt;'Immobilien-Kalkulation'!$B$69),MIN(D60*C60/12+'Immobilien-Kalkulation'!$B$74/12,D60*(1+C60/12)),MIN('Immobilien-Kalkulation'!$B$67,D60*(1+C60/12))))</f>
        <v>1429.9603560928113</v>
      </c>
      <c r="F60" s="53">
        <f>IF(OR(A60&gt;'Immobilien-Kalkulation'!$B$70*12,D60&lt;=0),0,D60*C60/12)</f>
        <v>840.01738093188658</v>
      </c>
      <c r="G60" s="53">
        <f>IF(OR(A60&gt;'Immobilien-Kalkulation'!$B$70*12,D60&lt;=0),0,MAX(0,MIN(D60,E60-F60)))</f>
        <v>589.94297516092468</v>
      </c>
      <c r="H60" s="95">
        <v>0</v>
      </c>
      <c r="I60" s="53">
        <f>IF(A60&gt;'Immobilien-Kalkulation'!$B$70*12,0,MAX(0,D60-G60-J60))</f>
        <v>287416.01620148588</v>
      </c>
      <c r="J60" s="53">
        <f>IF(OR(A60&gt;'Immobilien-Kalkulation'!$B$70*12,D60&lt;=0),0,MIN(H60,MAX(0,D60-G60)))</f>
        <v>0</v>
      </c>
    </row>
    <row r="61" spans="1:17" x14ac:dyDescent="0.25">
      <c r="A61">
        <v>58</v>
      </c>
      <c r="B61">
        <f t="shared" si="0"/>
        <v>5</v>
      </c>
      <c r="C61" s="28">
        <f>IF(A61&gt;'Immobilien-Kalkulation'!$B$70*12,0,IF(AND('Immobilien-Kalkulation'!$B$72=1,B61&gt;'Immobilien-Kalkulation'!$B$69),'Immobilien-Kalkulation'!$B$73,'Immobilien-Kalkulation'!$B$65))</f>
        <v>3.5000000000000003E-2</v>
      </c>
      <c r="D61" s="53">
        <f>IF(A61&gt;'Immobilien-Kalkulation'!$B$70*12,0,I60)</f>
        <v>287416.01620148588</v>
      </c>
      <c r="E61" s="53">
        <f>IF(OR(A61&gt;'Immobilien-Kalkulation'!$B$70*12,D61&lt;=0),0,IF(AND('Immobilien-Kalkulation'!$B$72=1,B61&gt;'Immobilien-Kalkulation'!$B$69),MIN(D61*C61/12+'Immobilien-Kalkulation'!$B$74/12,D61*(1+C61/12)),MIN('Immobilien-Kalkulation'!$B$67,D61*(1+C61/12))))</f>
        <v>1429.9603560928113</v>
      </c>
      <c r="F61" s="53">
        <f>IF(OR(A61&gt;'Immobilien-Kalkulation'!$B$70*12,D61&lt;=0),0,D61*C61/12)</f>
        <v>838.29671392100056</v>
      </c>
      <c r="G61" s="53">
        <f>IF(OR(A61&gt;'Immobilien-Kalkulation'!$B$70*12,D61&lt;=0),0,MAX(0,MIN(D61,E61-F61)))</f>
        <v>591.66364217181069</v>
      </c>
      <c r="H61" s="95">
        <v>0</v>
      </c>
      <c r="I61" s="53">
        <f>IF(A61&gt;'Immobilien-Kalkulation'!$B$70*12,0,MAX(0,D61-G61-J61))</f>
        <v>286824.35255931405</v>
      </c>
      <c r="J61" s="53">
        <f>IF(OR(A61&gt;'Immobilien-Kalkulation'!$B$70*12,D61&lt;=0),0,MIN(H61,MAX(0,D61-G61)))</f>
        <v>0</v>
      </c>
    </row>
    <row r="62" spans="1:17" x14ac:dyDescent="0.25">
      <c r="A62">
        <v>59</v>
      </c>
      <c r="B62">
        <f t="shared" si="0"/>
        <v>5</v>
      </c>
      <c r="C62" s="28">
        <f>IF(A62&gt;'Immobilien-Kalkulation'!$B$70*12,0,IF(AND('Immobilien-Kalkulation'!$B$72=1,B62&gt;'Immobilien-Kalkulation'!$B$69),'Immobilien-Kalkulation'!$B$73,'Immobilien-Kalkulation'!$B$65))</f>
        <v>3.5000000000000003E-2</v>
      </c>
      <c r="D62" s="53">
        <f>IF(A62&gt;'Immobilien-Kalkulation'!$B$70*12,0,I61)</f>
        <v>286824.35255931405</v>
      </c>
      <c r="E62" s="53">
        <f>IF(OR(A62&gt;'Immobilien-Kalkulation'!$B$70*12,D62&lt;=0),0,IF(AND('Immobilien-Kalkulation'!$B$72=1,B62&gt;'Immobilien-Kalkulation'!$B$69),MIN(D62*C62/12+'Immobilien-Kalkulation'!$B$74/12,D62*(1+C62/12)),MIN('Immobilien-Kalkulation'!$B$67,D62*(1+C62/12))))</f>
        <v>1429.9603560928113</v>
      </c>
      <c r="F62" s="53">
        <f>IF(OR(A62&gt;'Immobilien-Kalkulation'!$B$70*12,D62&lt;=0),0,D62*C62/12)</f>
        <v>836.57102829799942</v>
      </c>
      <c r="G62" s="53">
        <f>IF(OR(A62&gt;'Immobilien-Kalkulation'!$B$70*12,D62&lt;=0),0,MAX(0,MIN(D62,E62-F62)))</f>
        <v>593.38932779481183</v>
      </c>
      <c r="H62" s="95">
        <v>0</v>
      </c>
      <c r="I62" s="53">
        <f>IF(A62&gt;'Immobilien-Kalkulation'!$B$70*12,0,MAX(0,D62-G62-J62))</f>
        <v>286230.96323151921</v>
      </c>
      <c r="J62" s="53">
        <f>IF(OR(A62&gt;'Immobilien-Kalkulation'!$B$70*12,D62&lt;=0),0,MIN(H62,MAX(0,D62-G62)))</f>
        <v>0</v>
      </c>
    </row>
    <row r="63" spans="1:17" x14ac:dyDescent="0.25">
      <c r="A63">
        <v>60</v>
      </c>
      <c r="B63">
        <f t="shared" si="0"/>
        <v>5</v>
      </c>
      <c r="C63" s="28">
        <f>IF(A63&gt;'Immobilien-Kalkulation'!$B$70*12,0,IF(AND('Immobilien-Kalkulation'!$B$72=1,B63&gt;'Immobilien-Kalkulation'!$B$69),'Immobilien-Kalkulation'!$B$73,'Immobilien-Kalkulation'!$B$65))</f>
        <v>3.5000000000000003E-2</v>
      </c>
      <c r="D63" s="53">
        <f>IF(A63&gt;'Immobilien-Kalkulation'!$B$70*12,0,I62)</f>
        <v>286230.96323151921</v>
      </c>
      <c r="E63" s="53">
        <f>IF(OR(A63&gt;'Immobilien-Kalkulation'!$B$70*12,D63&lt;=0),0,IF(AND('Immobilien-Kalkulation'!$B$72=1,B63&gt;'Immobilien-Kalkulation'!$B$69),MIN(D63*C63/12+'Immobilien-Kalkulation'!$B$74/12,D63*(1+C63/12)),MIN('Immobilien-Kalkulation'!$B$67,D63*(1+C63/12))))</f>
        <v>1429.9603560928113</v>
      </c>
      <c r="F63" s="53">
        <f>IF(OR(A63&gt;'Immobilien-Kalkulation'!$B$70*12,D63&lt;=0),0,D63*C63/12)</f>
        <v>834.84030942526442</v>
      </c>
      <c r="G63" s="53">
        <f>IF(OR(A63&gt;'Immobilien-Kalkulation'!$B$70*12,D63&lt;=0),0,MAX(0,MIN(D63,E63-F63)))</f>
        <v>595.12004666754683</v>
      </c>
      <c r="H63" s="95">
        <v>0</v>
      </c>
      <c r="I63" s="53">
        <f>IF(A63&gt;'Immobilien-Kalkulation'!$B$70*12,0,MAX(0,D63-G63-J63))</f>
        <v>285635.84318485169</v>
      </c>
      <c r="J63" s="53">
        <f>IF(OR(A63&gt;'Immobilien-Kalkulation'!$B$70*12,D63&lt;=0),0,MIN(H63,MAX(0,D63-G63)))</f>
        <v>0</v>
      </c>
    </row>
    <row r="64" spans="1:17" x14ac:dyDescent="0.25">
      <c r="A64">
        <v>61</v>
      </c>
      <c r="B64">
        <f t="shared" si="0"/>
        <v>6</v>
      </c>
      <c r="C64" s="28">
        <f>IF(A64&gt;'Immobilien-Kalkulation'!$B$70*12,0,IF(AND('Immobilien-Kalkulation'!$B$72=1,B64&gt;'Immobilien-Kalkulation'!$B$69),'Immobilien-Kalkulation'!$B$73,'Immobilien-Kalkulation'!$B$65))</f>
        <v>3.5000000000000003E-2</v>
      </c>
      <c r="D64" s="53">
        <f>IF(A64&gt;'Immobilien-Kalkulation'!$B$70*12,0,I63)</f>
        <v>285635.84318485169</v>
      </c>
      <c r="E64" s="53">
        <f>IF(OR(A64&gt;'Immobilien-Kalkulation'!$B$70*12,D64&lt;=0),0,IF(AND('Immobilien-Kalkulation'!$B$72=1,B64&gt;'Immobilien-Kalkulation'!$B$69),MIN(D64*C64/12+'Immobilien-Kalkulation'!$B$74/12,D64*(1+C64/12)),MIN('Immobilien-Kalkulation'!$B$67,D64*(1+C64/12))))</f>
        <v>1429.9603560928113</v>
      </c>
      <c r="F64" s="53">
        <f>IF(OR(A64&gt;'Immobilien-Kalkulation'!$B$70*12,D64&lt;=0),0,D64*C64/12)</f>
        <v>833.10454262248413</v>
      </c>
      <c r="G64" s="53">
        <f>IF(OR(A64&gt;'Immobilien-Kalkulation'!$B$70*12,D64&lt;=0),0,MAX(0,MIN(D64,E64-F64)))</f>
        <v>596.85581347032712</v>
      </c>
      <c r="H64" s="95">
        <v>0</v>
      </c>
      <c r="I64" s="53">
        <f>IF(A64&gt;'Immobilien-Kalkulation'!$B$70*12,0,MAX(0,D64-G64-J64))</f>
        <v>285038.98737138137</v>
      </c>
      <c r="J64" s="53">
        <f>IF(OR(A64&gt;'Immobilien-Kalkulation'!$B$70*12,D64&lt;=0),0,MIN(H64,MAX(0,D64-G64)))</f>
        <v>0</v>
      </c>
    </row>
    <row r="65" spans="1:10" x14ac:dyDescent="0.25">
      <c r="A65">
        <v>62</v>
      </c>
      <c r="B65">
        <f t="shared" si="0"/>
        <v>6</v>
      </c>
      <c r="C65" s="28">
        <f>IF(A65&gt;'Immobilien-Kalkulation'!$B$70*12,0,IF(AND('Immobilien-Kalkulation'!$B$72=1,B65&gt;'Immobilien-Kalkulation'!$B$69),'Immobilien-Kalkulation'!$B$73,'Immobilien-Kalkulation'!$B$65))</f>
        <v>3.5000000000000003E-2</v>
      </c>
      <c r="D65" s="53">
        <f>IF(A65&gt;'Immobilien-Kalkulation'!$B$70*12,0,I64)</f>
        <v>285038.98737138137</v>
      </c>
      <c r="E65" s="53">
        <f>IF(OR(A65&gt;'Immobilien-Kalkulation'!$B$70*12,D65&lt;=0),0,IF(AND('Immobilien-Kalkulation'!$B$72=1,B65&gt;'Immobilien-Kalkulation'!$B$69),MIN(D65*C65/12+'Immobilien-Kalkulation'!$B$74/12,D65*(1+C65/12)),MIN('Immobilien-Kalkulation'!$B$67,D65*(1+C65/12))))</f>
        <v>1429.9603560928113</v>
      </c>
      <c r="F65" s="53">
        <f>IF(OR(A65&gt;'Immobilien-Kalkulation'!$B$70*12,D65&lt;=0),0,D65*C65/12)</f>
        <v>831.36371316652912</v>
      </c>
      <c r="G65" s="53">
        <f>IF(OR(A65&gt;'Immobilien-Kalkulation'!$B$70*12,D65&lt;=0),0,MAX(0,MIN(D65,E65-F65)))</f>
        <v>598.59664292628213</v>
      </c>
      <c r="H65" s="95">
        <v>0</v>
      </c>
      <c r="I65" s="53">
        <f>IF(A65&gt;'Immobilien-Kalkulation'!$B$70*12,0,MAX(0,D65-G65-J65))</f>
        <v>284440.3907284551</v>
      </c>
      <c r="J65" s="53">
        <f>IF(OR(A65&gt;'Immobilien-Kalkulation'!$B$70*12,D65&lt;=0),0,MIN(H65,MAX(0,D65-G65)))</f>
        <v>0</v>
      </c>
    </row>
    <row r="66" spans="1:10" x14ac:dyDescent="0.25">
      <c r="A66">
        <v>63</v>
      </c>
      <c r="B66">
        <f t="shared" si="0"/>
        <v>6</v>
      </c>
      <c r="C66" s="28">
        <f>IF(A66&gt;'Immobilien-Kalkulation'!$B$70*12,0,IF(AND('Immobilien-Kalkulation'!$B$72=1,B66&gt;'Immobilien-Kalkulation'!$B$69),'Immobilien-Kalkulation'!$B$73,'Immobilien-Kalkulation'!$B$65))</f>
        <v>3.5000000000000003E-2</v>
      </c>
      <c r="D66" s="53">
        <f>IF(A66&gt;'Immobilien-Kalkulation'!$B$70*12,0,I65)</f>
        <v>284440.3907284551</v>
      </c>
      <c r="E66" s="53">
        <f>IF(OR(A66&gt;'Immobilien-Kalkulation'!$B$70*12,D66&lt;=0),0,IF(AND('Immobilien-Kalkulation'!$B$72=1,B66&gt;'Immobilien-Kalkulation'!$B$69),MIN(D66*C66/12+'Immobilien-Kalkulation'!$B$74/12,D66*(1+C66/12)),MIN('Immobilien-Kalkulation'!$B$67,D66*(1+C66/12))))</f>
        <v>1429.9603560928113</v>
      </c>
      <c r="F66" s="53">
        <f>IF(OR(A66&gt;'Immobilien-Kalkulation'!$B$70*12,D66&lt;=0),0,D66*C66/12)</f>
        <v>829.61780629132738</v>
      </c>
      <c r="G66" s="53">
        <f>IF(OR(A66&gt;'Immobilien-Kalkulation'!$B$70*12,D66&lt;=0),0,MAX(0,MIN(D66,E66-F66)))</f>
        <v>600.34254980148387</v>
      </c>
      <c r="H66" s="95">
        <v>0</v>
      </c>
      <c r="I66" s="53">
        <f>IF(A66&gt;'Immobilien-Kalkulation'!$B$70*12,0,MAX(0,D66-G66-J66))</f>
        <v>283840.04817865364</v>
      </c>
      <c r="J66" s="53">
        <f>IF(OR(A66&gt;'Immobilien-Kalkulation'!$B$70*12,D66&lt;=0),0,MIN(H66,MAX(0,D66-G66)))</f>
        <v>0</v>
      </c>
    </row>
    <row r="67" spans="1:10" x14ac:dyDescent="0.25">
      <c r="A67">
        <v>64</v>
      </c>
      <c r="B67">
        <f t="shared" si="0"/>
        <v>6</v>
      </c>
      <c r="C67" s="28">
        <f>IF(A67&gt;'Immobilien-Kalkulation'!$B$70*12,0,IF(AND('Immobilien-Kalkulation'!$B$72=1,B67&gt;'Immobilien-Kalkulation'!$B$69),'Immobilien-Kalkulation'!$B$73,'Immobilien-Kalkulation'!$B$65))</f>
        <v>3.5000000000000003E-2</v>
      </c>
      <c r="D67" s="53">
        <f>IF(A67&gt;'Immobilien-Kalkulation'!$B$70*12,0,I66)</f>
        <v>283840.04817865364</v>
      </c>
      <c r="E67" s="53">
        <f>IF(OR(A67&gt;'Immobilien-Kalkulation'!$B$70*12,D67&lt;=0),0,IF(AND('Immobilien-Kalkulation'!$B$72=1,B67&gt;'Immobilien-Kalkulation'!$B$69),MIN(D67*C67/12+'Immobilien-Kalkulation'!$B$74/12,D67*(1+C67/12)),MIN('Immobilien-Kalkulation'!$B$67,D67*(1+C67/12))))</f>
        <v>1429.9603560928113</v>
      </c>
      <c r="F67" s="53">
        <f>IF(OR(A67&gt;'Immobilien-Kalkulation'!$B$70*12,D67&lt;=0),0,D67*C67/12)</f>
        <v>827.86680718773994</v>
      </c>
      <c r="G67" s="53">
        <f>IF(OR(A67&gt;'Immobilien-Kalkulation'!$B$70*12,D67&lt;=0),0,MAX(0,MIN(D67,E67-F67)))</f>
        <v>602.09354890507132</v>
      </c>
      <c r="H67" s="95">
        <v>0</v>
      </c>
      <c r="I67" s="53">
        <f>IF(A67&gt;'Immobilien-Kalkulation'!$B$70*12,0,MAX(0,D67-G67-J67))</f>
        <v>283237.95462974859</v>
      </c>
      <c r="J67" s="53">
        <f>IF(OR(A67&gt;'Immobilien-Kalkulation'!$B$70*12,D67&lt;=0),0,MIN(H67,MAX(0,D67-G67)))</f>
        <v>0</v>
      </c>
    </row>
    <row r="68" spans="1:10" x14ac:dyDescent="0.25">
      <c r="A68">
        <v>65</v>
      </c>
      <c r="B68">
        <f t="shared" ref="B68:B131" si="1">INT((A68-1)/12)+1</f>
        <v>6</v>
      </c>
      <c r="C68" s="28">
        <f>IF(A68&gt;'Immobilien-Kalkulation'!$B$70*12,0,IF(AND('Immobilien-Kalkulation'!$B$72=1,B68&gt;'Immobilien-Kalkulation'!$B$69),'Immobilien-Kalkulation'!$B$73,'Immobilien-Kalkulation'!$B$65))</f>
        <v>3.5000000000000003E-2</v>
      </c>
      <c r="D68" s="53">
        <f>IF(A68&gt;'Immobilien-Kalkulation'!$B$70*12,0,I67)</f>
        <v>283237.95462974859</v>
      </c>
      <c r="E68" s="53">
        <f>IF(OR(A68&gt;'Immobilien-Kalkulation'!$B$70*12,D68&lt;=0),0,IF(AND('Immobilien-Kalkulation'!$B$72=1,B68&gt;'Immobilien-Kalkulation'!$B$69),MIN(D68*C68/12+'Immobilien-Kalkulation'!$B$74/12,D68*(1+C68/12)),MIN('Immobilien-Kalkulation'!$B$67,D68*(1+C68/12))))</f>
        <v>1429.9603560928113</v>
      </c>
      <c r="F68" s="53">
        <f>IF(OR(A68&gt;'Immobilien-Kalkulation'!$B$70*12,D68&lt;=0),0,D68*C68/12)</f>
        <v>826.11070100343341</v>
      </c>
      <c r="G68" s="53">
        <f>IF(OR(A68&gt;'Immobilien-Kalkulation'!$B$70*12,D68&lt;=0),0,MAX(0,MIN(D68,E68-F68)))</f>
        <v>603.84965508937785</v>
      </c>
      <c r="H68" s="95">
        <v>0</v>
      </c>
      <c r="I68" s="53">
        <f>IF(A68&gt;'Immobilien-Kalkulation'!$B$70*12,0,MAX(0,D68-G68-J68))</f>
        <v>282634.10497465922</v>
      </c>
      <c r="J68" s="53">
        <f>IF(OR(A68&gt;'Immobilien-Kalkulation'!$B$70*12,D68&lt;=0),0,MIN(H68,MAX(0,D68-G68)))</f>
        <v>0</v>
      </c>
    </row>
    <row r="69" spans="1:10" x14ac:dyDescent="0.25">
      <c r="A69">
        <v>66</v>
      </c>
      <c r="B69">
        <f t="shared" si="1"/>
        <v>6</v>
      </c>
      <c r="C69" s="28">
        <f>IF(A69&gt;'Immobilien-Kalkulation'!$B$70*12,0,IF(AND('Immobilien-Kalkulation'!$B$72=1,B69&gt;'Immobilien-Kalkulation'!$B$69),'Immobilien-Kalkulation'!$B$73,'Immobilien-Kalkulation'!$B$65))</f>
        <v>3.5000000000000003E-2</v>
      </c>
      <c r="D69" s="53">
        <f>IF(A69&gt;'Immobilien-Kalkulation'!$B$70*12,0,I68)</f>
        <v>282634.10497465922</v>
      </c>
      <c r="E69" s="53">
        <f>IF(OR(A69&gt;'Immobilien-Kalkulation'!$B$70*12,D69&lt;=0),0,IF(AND('Immobilien-Kalkulation'!$B$72=1,B69&gt;'Immobilien-Kalkulation'!$B$69),MIN(D69*C69/12+'Immobilien-Kalkulation'!$B$74/12,D69*(1+C69/12)),MIN('Immobilien-Kalkulation'!$B$67,D69*(1+C69/12))))</f>
        <v>1429.9603560928113</v>
      </c>
      <c r="F69" s="53">
        <f>IF(OR(A69&gt;'Immobilien-Kalkulation'!$B$70*12,D69&lt;=0),0,D69*C69/12)</f>
        <v>824.3494728427562</v>
      </c>
      <c r="G69" s="53">
        <f>IF(OR(A69&gt;'Immobilien-Kalkulation'!$B$70*12,D69&lt;=0),0,MAX(0,MIN(D69,E69-F69)))</f>
        <v>605.61088325005505</v>
      </c>
      <c r="H69" s="95">
        <v>0</v>
      </c>
      <c r="I69" s="53">
        <f>IF(A69&gt;'Immobilien-Kalkulation'!$B$70*12,0,MAX(0,D69-G69-J69))</f>
        <v>282028.49409140914</v>
      </c>
      <c r="J69" s="53">
        <f>IF(OR(A69&gt;'Immobilien-Kalkulation'!$B$70*12,D69&lt;=0),0,MIN(H69,MAX(0,D69-G69)))</f>
        <v>0</v>
      </c>
    </row>
    <row r="70" spans="1:10" x14ac:dyDescent="0.25">
      <c r="A70">
        <v>67</v>
      </c>
      <c r="B70">
        <f t="shared" si="1"/>
        <v>6</v>
      </c>
      <c r="C70" s="28">
        <f>IF(A70&gt;'Immobilien-Kalkulation'!$B$70*12,0,IF(AND('Immobilien-Kalkulation'!$B$72=1,B70&gt;'Immobilien-Kalkulation'!$B$69),'Immobilien-Kalkulation'!$B$73,'Immobilien-Kalkulation'!$B$65))</f>
        <v>3.5000000000000003E-2</v>
      </c>
      <c r="D70" s="53">
        <f>IF(A70&gt;'Immobilien-Kalkulation'!$B$70*12,0,I69)</f>
        <v>282028.49409140914</v>
      </c>
      <c r="E70" s="53">
        <f>IF(OR(A70&gt;'Immobilien-Kalkulation'!$B$70*12,D70&lt;=0),0,IF(AND('Immobilien-Kalkulation'!$B$72=1,B70&gt;'Immobilien-Kalkulation'!$B$69),MIN(D70*C70/12+'Immobilien-Kalkulation'!$B$74/12,D70*(1+C70/12)),MIN('Immobilien-Kalkulation'!$B$67,D70*(1+C70/12))))</f>
        <v>1429.9603560928113</v>
      </c>
      <c r="F70" s="53">
        <f>IF(OR(A70&gt;'Immobilien-Kalkulation'!$B$70*12,D70&lt;=0),0,D70*C70/12)</f>
        <v>822.58310776661017</v>
      </c>
      <c r="G70" s="53">
        <f>IF(OR(A70&gt;'Immobilien-Kalkulation'!$B$70*12,D70&lt;=0),0,MAX(0,MIN(D70,E70-F70)))</f>
        <v>607.37724832620108</v>
      </c>
      <c r="H70" s="95">
        <v>0</v>
      </c>
      <c r="I70" s="53">
        <f>IF(A70&gt;'Immobilien-Kalkulation'!$B$70*12,0,MAX(0,D70-G70-J70))</f>
        <v>281421.11684308294</v>
      </c>
      <c r="J70" s="53">
        <f>IF(OR(A70&gt;'Immobilien-Kalkulation'!$B$70*12,D70&lt;=0),0,MIN(H70,MAX(0,D70-G70)))</f>
        <v>0</v>
      </c>
    </row>
    <row r="71" spans="1:10" x14ac:dyDescent="0.25">
      <c r="A71">
        <v>68</v>
      </c>
      <c r="B71">
        <f t="shared" si="1"/>
        <v>6</v>
      </c>
      <c r="C71" s="28">
        <f>IF(A71&gt;'Immobilien-Kalkulation'!$B$70*12,0,IF(AND('Immobilien-Kalkulation'!$B$72=1,B71&gt;'Immobilien-Kalkulation'!$B$69),'Immobilien-Kalkulation'!$B$73,'Immobilien-Kalkulation'!$B$65))</f>
        <v>3.5000000000000003E-2</v>
      </c>
      <c r="D71" s="53">
        <f>IF(A71&gt;'Immobilien-Kalkulation'!$B$70*12,0,I70)</f>
        <v>281421.11684308294</v>
      </c>
      <c r="E71" s="53">
        <f>IF(OR(A71&gt;'Immobilien-Kalkulation'!$B$70*12,D71&lt;=0),0,IF(AND('Immobilien-Kalkulation'!$B$72=1,B71&gt;'Immobilien-Kalkulation'!$B$69),MIN(D71*C71/12+'Immobilien-Kalkulation'!$B$74/12,D71*(1+C71/12)),MIN('Immobilien-Kalkulation'!$B$67,D71*(1+C71/12))))</f>
        <v>1429.9603560928113</v>
      </c>
      <c r="F71" s="53">
        <f>IF(OR(A71&gt;'Immobilien-Kalkulation'!$B$70*12,D71&lt;=0),0,D71*C71/12)</f>
        <v>820.81159079232532</v>
      </c>
      <c r="G71" s="53">
        <f>IF(OR(A71&gt;'Immobilien-Kalkulation'!$B$70*12,D71&lt;=0),0,MAX(0,MIN(D71,E71-F71)))</f>
        <v>609.14876530048593</v>
      </c>
      <c r="H71" s="95">
        <v>0</v>
      </c>
      <c r="I71" s="53">
        <f>IF(A71&gt;'Immobilien-Kalkulation'!$B$70*12,0,MAX(0,D71-G71-J71))</f>
        <v>280811.96807778248</v>
      </c>
      <c r="J71" s="53">
        <f>IF(OR(A71&gt;'Immobilien-Kalkulation'!$B$70*12,D71&lt;=0),0,MIN(H71,MAX(0,D71-G71)))</f>
        <v>0</v>
      </c>
    </row>
    <row r="72" spans="1:10" x14ac:dyDescent="0.25">
      <c r="A72">
        <v>69</v>
      </c>
      <c r="B72">
        <f t="shared" si="1"/>
        <v>6</v>
      </c>
      <c r="C72" s="28">
        <f>IF(A72&gt;'Immobilien-Kalkulation'!$B$70*12,0,IF(AND('Immobilien-Kalkulation'!$B$72=1,B72&gt;'Immobilien-Kalkulation'!$B$69),'Immobilien-Kalkulation'!$B$73,'Immobilien-Kalkulation'!$B$65))</f>
        <v>3.5000000000000003E-2</v>
      </c>
      <c r="D72" s="53">
        <f>IF(A72&gt;'Immobilien-Kalkulation'!$B$70*12,0,I71)</f>
        <v>280811.96807778248</v>
      </c>
      <c r="E72" s="53">
        <f>IF(OR(A72&gt;'Immobilien-Kalkulation'!$B$70*12,D72&lt;=0),0,IF(AND('Immobilien-Kalkulation'!$B$72=1,B72&gt;'Immobilien-Kalkulation'!$B$69),MIN(D72*C72/12+'Immobilien-Kalkulation'!$B$74/12,D72*(1+C72/12)),MIN('Immobilien-Kalkulation'!$B$67,D72*(1+C72/12))))</f>
        <v>1429.9603560928113</v>
      </c>
      <c r="F72" s="53">
        <f>IF(OR(A72&gt;'Immobilien-Kalkulation'!$B$70*12,D72&lt;=0),0,D72*C72/12)</f>
        <v>819.03490689353237</v>
      </c>
      <c r="G72" s="53">
        <f>IF(OR(A72&gt;'Immobilien-Kalkulation'!$B$70*12,D72&lt;=0),0,MAX(0,MIN(D72,E72-F72)))</f>
        <v>610.92544919927889</v>
      </c>
      <c r="H72" s="95">
        <v>0</v>
      </c>
      <c r="I72" s="53">
        <f>IF(A72&gt;'Immobilien-Kalkulation'!$B$70*12,0,MAX(0,D72-G72-J72))</f>
        <v>280201.04262858321</v>
      </c>
      <c r="J72" s="53">
        <f>IF(OR(A72&gt;'Immobilien-Kalkulation'!$B$70*12,D72&lt;=0),0,MIN(H72,MAX(0,D72-G72)))</f>
        <v>0</v>
      </c>
    </row>
    <row r="73" spans="1:10" x14ac:dyDescent="0.25">
      <c r="A73">
        <v>70</v>
      </c>
      <c r="B73">
        <f t="shared" si="1"/>
        <v>6</v>
      </c>
      <c r="C73" s="28">
        <f>IF(A73&gt;'Immobilien-Kalkulation'!$B$70*12,0,IF(AND('Immobilien-Kalkulation'!$B$72=1,B73&gt;'Immobilien-Kalkulation'!$B$69),'Immobilien-Kalkulation'!$B$73,'Immobilien-Kalkulation'!$B$65))</f>
        <v>3.5000000000000003E-2</v>
      </c>
      <c r="D73" s="53">
        <f>IF(A73&gt;'Immobilien-Kalkulation'!$B$70*12,0,I72)</f>
        <v>280201.04262858321</v>
      </c>
      <c r="E73" s="53">
        <f>IF(OR(A73&gt;'Immobilien-Kalkulation'!$B$70*12,D73&lt;=0),0,IF(AND('Immobilien-Kalkulation'!$B$72=1,B73&gt;'Immobilien-Kalkulation'!$B$69),MIN(D73*C73/12+'Immobilien-Kalkulation'!$B$74/12,D73*(1+C73/12)),MIN('Immobilien-Kalkulation'!$B$67,D73*(1+C73/12))))</f>
        <v>1429.9603560928113</v>
      </c>
      <c r="F73" s="53">
        <f>IF(OR(A73&gt;'Immobilien-Kalkulation'!$B$70*12,D73&lt;=0),0,D73*C73/12)</f>
        <v>817.2530410000345</v>
      </c>
      <c r="G73" s="53">
        <f>IF(OR(A73&gt;'Immobilien-Kalkulation'!$B$70*12,D73&lt;=0),0,MAX(0,MIN(D73,E73-F73)))</f>
        <v>612.70731509277675</v>
      </c>
      <c r="H73" s="95">
        <v>0</v>
      </c>
      <c r="I73" s="53">
        <f>IF(A73&gt;'Immobilien-Kalkulation'!$B$70*12,0,MAX(0,D73-G73-J73))</f>
        <v>279588.33531349042</v>
      </c>
      <c r="J73" s="53">
        <f>IF(OR(A73&gt;'Immobilien-Kalkulation'!$B$70*12,D73&lt;=0),0,MIN(H73,MAX(0,D73-G73)))</f>
        <v>0</v>
      </c>
    </row>
    <row r="74" spans="1:10" x14ac:dyDescent="0.25">
      <c r="A74">
        <v>71</v>
      </c>
      <c r="B74">
        <f t="shared" si="1"/>
        <v>6</v>
      </c>
      <c r="C74" s="28">
        <f>IF(A74&gt;'Immobilien-Kalkulation'!$B$70*12,0,IF(AND('Immobilien-Kalkulation'!$B$72=1,B74&gt;'Immobilien-Kalkulation'!$B$69),'Immobilien-Kalkulation'!$B$73,'Immobilien-Kalkulation'!$B$65))</f>
        <v>3.5000000000000003E-2</v>
      </c>
      <c r="D74" s="53">
        <f>IF(A74&gt;'Immobilien-Kalkulation'!$B$70*12,0,I73)</f>
        <v>279588.33531349042</v>
      </c>
      <c r="E74" s="53">
        <f>IF(OR(A74&gt;'Immobilien-Kalkulation'!$B$70*12,D74&lt;=0),0,IF(AND('Immobilien-Kalkulation'!$B$72=1,B74&gt;'Immobilien-Kalkulation'!$B$69),MIN(D74*C74/12+'Immobilien-Kalkulation'!$B$74/12,D74*(1+C74/12)),MIN('Immobilien-Kalkulation'!$B$67,D74*(1+C74/12))))</f>
        <v>1429.9603560928113</v>
      </c>
      <c r="F74" s="53">
        <f>IF(OR(A74&gt;'Immobilien-Kalkulation'!$B$70*12,D74&lt;=0),0,D74*C74/12)</f>
        <v>815.46597799768051</v>
      </c>
      <c r="G74" s="53">
        <f>IF(OR(A74&gt;'Immobilien-Kalkulation'!$B$70*12,D74&lt;=0),0,MAX(0,MIN(D74,E74-F74)))</f>
        <v>614.49437809513074</v>
      </c>
      <c r="H74" s="95">
        <v>0</v>
      </c>
      <c r="I74" s="53">
        <f>IF(A74&gt;'Immobilien-Kalkulation'!$B$70*12,0,MAX(0,D74-G74-J74))</f>
        <v>278973.84093539527</v>
      </c>
      <c r="J74" s="53">
        <f>IF(OR(A74&gt;'Immobilien-Kalkulation'!$B$70*12,D74&lt;=0),0,MIN(H74,MAX(0,D74-G74)))</f>
        <v>0</v>
      </c>
    </row>
    <row r="75" spans="1:10" x14ac:dyDescent="0.25">
      <c r="A75">
        <v>72</v>
      </c>
      <c r="B75">
        <f t="shared" si="1"/>
        <v>6</v>
      </c>
      <c r="C75" s="28">
        <f>IF(A75&gt;'Immobilien-Kalkulation'!$B$70*12,0,IF(AND('Immobilien-Kalkulation'!$B$72=1,B75&gt;'Immobilien-Kalkulation'!$B$69),'Immobilien-Kalkulation'!$B$73,'Immobilien-Kalkulation'!$B$65))</f>
        <v>3.5000000000000003E-2</v>
      </c>
      <c r="D75" s="53">
        <f>IF(A75&gt;'Immobilien-Kalkulation'!$B$70*12,0,I74)</f>
        <v>278973.84093539527</v>
      </c>
      <c r="E75" s="53">
        <f>IF(OR(A75&gt;'Immobilien-Kalkulation'!$B$70*12,D75&lt;=0),0,IF(AND('Immobilien-Kalkulation'!$B$72=1,B75&gt;'Immobilien-Kalkulation'!$B$69),MIN(D75*C75/12+'Immobilien-Kalkulation'!$B$74/12,D75*(1+C75/12)),MIN('Immobilien-Kalkulation'!$B$67,D75*(1+C75/12))))</f>
        <v>1429.9603560928113</v>
      </c>
      <c r="F75" s="53">
        <f>IF(OR(A75&gt;'Immobilien-Kalkulation'!$B$70*12,D75&lt;=0),0,D75*C75/12)</f>
        <v>813.67370272823621</v>
      </c>
      <c r="G75" s="53">
        <f>IF(OR(A75&gt;'Immobilien-Kalkulation'!$B$70*12,D75&lt;=0),0,MAX(0,MIN(D75,E75-F75)))</f>
        <v>616.28665336457505</v>
      </c>
      <c r="H75" s="95">
        <v>0</v>
      </c>
      <c r="I75" s="53">
        <f>IF(A75&gt;'Immobilien-Kalkulation'!$B$70*12,0,MAX(0,D75-G75-J75))</f>
        <v>278357.55428203067</v>
      </c>
      <c r="J75" s="53">
        <f>IF(OR(A75&gt;'Immobilien-Kalkulation'!$B$70*12,D75&lt;=0),0,MIN(H75,MAX(0,D75-G75)))</f>
        <v>0</v>
      </c>
    </row>
    <row r="76" spans="1:10" x14ac:dyDescent="0.25">
      <c r="A76">
        <v>73</v>
      </c>
      <c r="B76">
        <f t="shared" si="1"/>
        <v>7</v>
      </c>
      <c r="C76" s="28">
        <f>IF(A76&gt;'Immobilien-Kalkulation'!$B$70*12,0,IF(AND('Immobilien-Kalkulation'!$B$72=1,B76&gt;'Immobilien-Kalkulation'!$B$69),'Immobilien-Kalkulation'!$B$73,'Immobilien-Kalkulation'!$B$65))</f>
        <v>3.5000000000000003E-2</v>
      </c>
      <c r="D76" s="53">
        <f>IF(A76&gt;'Immobilien-Kalkulation'!$B$70*12,0,I75)</f>
        <v>278357.55428203067</v>
      </c>
      <c r="E76" s="53">
        <f>IF(OR(A76&gt;'Immobilien-Kalkulation'!$B$70*12,D76&lt;=0),0,IF(AND('Immobilien-Kalkulation'!$B$72=1,B76&gt;'Immobilien-Kalkulation'!$B$69),MIN(D76*C76/12+'Immobilien-Kalkulation'!$B$74/12,D76*(1+C76/12)),MIN('Immobilien-Kalkulation'!$B$67,D76*(1+C76/12))))</f>
        <v>1429.9603560928113</v>
      </c>
      <c r="F76" s="53">
        <f>IF(OR(A76&gt;'Immobilien-Kalkulation'!$B$70*12,D76&lt;=0),0,D76*C76/12)</f>
        <v>811.87619998925618</v>
      </c>
      <c r="G76" s="53">
        <f>IF(OR(A76&gt;'Immobilien-Kalkulation'!$B$70*12,D76&lt;=0),0,MAX(0,MIN(D76,E76-F76)))</f>
        <v>618.08415610355507</v>
      </c>
      <c r="H76" s="95">
        <v>0</v>
      </c>
      <c r="I76" s="53">
        <f>IF(A76&gt;'Immobilien-Kalkulation'!$B$70*12,0,MAX(0,D76-G76-J76))</f>
        <v>277739.47012592712</v>
      </c>
      <c r="J76" s="53">
        <f>IF(OR(A76&gt;'Immobilien-Kalkulation'!$B$70*12,D76&lt;=0),0,MIN(H76,MAX(0,D76-G76)))</f>
        <v>0</v>
      </c>
    </row>
    <row r="77" spans="1:10" x14ac:dyDescent="0.25">
      <c r="A77">
        <v>74</v>
      </c>
      <c r="B77">
        <f t="shared" si="1"/>
        <v>7</v>
      </c>
      <c r="C77" s="28">
        <f>IF(A77&gt;'Immobilien-Kalkulation'!$B$70*12,0,IF(AND('Immobilien-Kalkulation'!$B$72=1,B77&gt;'Immobilien-Kalkulation'!$B$69),'Immobilien-Kalkulation'!$B$73,'Immobilien-Kalkulation'!$B$65))</f>
        <v>3.5000000000000003E-2</v>
      </c>
      <c r="D77" s="53">
        <f>IF(A77&gt;'Immobilien-Kalkulation'!$B$70*12,0,I76)</f>
        <v>277739.47012592712</v>
      </c>
      <c r="E77" s="53">
        <f>IF(OR(A77&gt;'Immobilien-Kalkulation'!$B$70*12,D77&lt;=0),0,IF(AND('Immobilien-Kalkulation'!$B$72=1,B77&gt;'Immobilien-Kalkulation'!$B$69),MIN(D77*C77/12+'Immobilien-Kalkulation'!$B$74/12,D77*(1+C77/12)),MIN('Immobilien-Kalkulation'!$B$67,D77*(1+C77/12))))</f>
        <v>1429.9603560928113</v>
      </c>
      <c r="F77" s="53">
        <f>IF(OR(A77&gt;'Immobilien-Kalkulation'!$B$70*12,D77&lt;=0),0,D77*C77/12)</f>
        <v>810.07345453395419</v>
      </c>
      <c r="G77" s="53">
        <f>IF(OR(A77&gt;'Immobilien-Kalkulation'!$B$70*12,D77&lt;=0),0,MAX(0,MIN(D77,E77-F77)))</f>
        <v>619.88690155885706</v>
      </c>
      <c r="H77" s="95">
        <v>0</v>
      </c>
      <c r="I77" s="53">
        <f>IF(A77&gt;'Immobilien-Kalkulation'!$B$70*12,0,MAX(0,D77-G77-J77))</f>
        <v>277119.58322436828</v>
      </c>
      <c r="J77" s="53">
        <f>IF(OR(A77&gt;'Immobilien-Kalkulation'!$B$70*12,D77&lt;=0),0,MIN(H77,MAX(0,D77-G77)))</f>
        <v>0</v>
      </c>
    </row>
    <row r="78" spans="1:10" x14ac:dyDescent="0.25">
      <c r="A78">
        <v>75</v>
      </c>
      <c r="B78">
        <f t="shared" si="1"/>
        <v>7</v>
      </c>
      <c r="C78" s="28">
        <f>IF(A78&gt;'Immobilien-Kalkulation'!$B$70*12,0,IF(AND('Immobilien-Kalkulation'!$B$72=1,B78&gt;'Immobilien-Kalkulation'!$B$69),'Immobilien-Kalkulation'!$B$73,'Immobilien-Kalkulation'!$B$65))</f>
        <v>3.5000000000000003E-2</v>
      </c>
      <c r="D78" s="53">
        <f>IF(A78&gt;'Immobilien-Kalkulation'!$B$70*12,0,I77)</f>
        <v>277119.58322436828</v>
      </c>
      <c r="E78" s="53">
        <f>IF(OR(A78&gt;'Immobilien-Kalkulation'!$B$70*12,D78&lt;=0),0,IF(AND('Immobilien-Kalkulation'!$B$72=1,B78&gt;'Immobilien-Kalkulation'!$B$69),MIN(D78*C78/12+'Immobilien-Kalkulation'!$B$74/12,D78*(1+C78/12)),MIN('Immobilien-Kalkulation'!$B$67,D78*(1+C78/12))))</f>
        <v>1429.9603560928113</v>
      </c>
      <c r="F78" s="53">
        <f>IF(OR(A78&gt;'Immobilien-Kalkulation'!$B$70*12,D78&lt;=0),0,D78*C78/12)</f>
        <v>808.26545107107415</v>
      </c>
      <c r="G78" s="53">
        <f>IF(OR(A78&gt;'Immobilien-Kalkulation'!$B$70*12,D78&lt;=0),0,MAX(0,MIN(D78,E78-F78)))</f>
        <v>621.6949050217371</v>
      </c>
      <c r="H78" s="95">
        <v>0</v>
      </c>
      <c r="I78" s="53">
        <f>IF(A78&gt;'Immobilien-Kalkulation'!$B$70*12,0,MAX(0,D78-G78-J78))</f>
        <v>276497.88831934653</v>
      </c>
      <c r="J78" s="53">
        <f>IF(OR(A78&gt;'Immobilien-Kalkulation'!$B$70*12,D78&lt;=0),0,MIN(H78,MAX(0,D78-G78)))</f>
        <v>0</v>
      </c>
    </row>
    <row r="79" spans="1:10" x14ac:dyDescent="0.25">
      <c r="A79">
        <v>76</v>
      </c>
      <c r="B79">
        <f t="shared" si="1"/>
        <v>7</v>
      </c>
      <c r="C79" s="28">
        <f>IF(A79&gt;'Immobilien-Kalkulation'!$B$70*12,0,IF(AND('Immobilien-Kalkulation'!$B$72=1,B79&gt;'Immobilien-Kalkulation'!$B$69),'Immobilien-Kalkulation'!$B$73,'Immobilien-Kalkulation'!$B$65))</f>
        <v>3.5000000000000003E-2</v>
      </c>
      <c r="D79" s="53">
        <f>IF(A79&gt;'Immobilien-Kalkulation'!$B$70*12,0,I78)</f>
        <v>276497.88831934653</v>
      </c>
      <c r="E79" s="53">
        <f>IF(OR(A79&gt;'Immobilien-Kalkulation'!$B$70*12,D79&lt;=0),0,IF(AND('Immobilien-Kalkulation'!$B$72=1,B79&gt;'Immobilien-Kalkulation'!$B$69),MIN(D79*C79/12+'Immobilien-Kalkulation'!$B$74/12,D79*(1+C79/12)),MIN('Immobilien-Kalkulation'!$B$67,D79*(1+C79/12))))</f>
        <v>1429.9603560928113</v>
      </c>
      <c r="F79" s="53">
        <f>IF(OR(A79&gt;'Immobilien-Kalkulation'!$B$70*12,D79&lt;=0),0,D79*C79/12)</f>
        <v>806.45217426476074</v>
      </c>
      <c r="G79" s="53">
        <f>IF(OR(A79&gt;'Immobilien-Kalkulation'!$B$70*12,D79&lt;=0),0,MAX(0,MIN(D79,E79-F79)))</f>
        <v>623.50818182805051</v>
      </c>
      <c r="H79" s="95">
        <v>0</v>
      </c>
      <c r="I79" s="53">
        <f>IF(A79&gt;'Immobilien-Kalkulation'!$B$70*12,0,MAX(0,D79-G79-J79))</f>
        <v>275874.38013751846</v>
      </c>
      <c r="J79" s="53">
        <f>IF(OR(A79&gt;'Immobilien-Kalkulation'!$B$70*12,D79&lt;=0),0,MIN(H79,MAX(0,D79-G79)))</f>
        <v>0</v>
      </c>
    </row>
    <row r="80" spans="1:10" x14ac:dyDescent="0.25">
      <c r="A80">
        <v>77</v>
      </c>
      <c r="B80">
        <f t="shared" si="1"/>
        <v>7</v>
      </c>
      <c r="C80" s="28">
        <f>IF(A80&gt;'Immobilien-Kalkulation'!$B$70*12,0,IF(AND('Immobilien-Kalkulation'!$B$72=1,B80&gt;'Immobilien-Kalkulation'!$B$69),'Immobilien-Kalkulation'!$B$73,'Immobilien-Kalkulation'!$B$65))</f>
        <v>3.5000000000000003E-2</v>
      </c>
      <c r="D80" s="53">
        <f>IF(A80&gt;'Immobilien-Kalkulation'!$B$70*12,0,I79)</f>
        <v>275874.38013751846</v>
      </c>
      <c r="E80" s="53">
        <f>IF(OR(A80&gt;'Immobilien-Kalkulation'!$B$70*12,D80&lt;=0),0,IF(AND('Immobilien-Kalkulation'!$B$72=1,B80&gt;'Immobilien-Kalkulation'!$B$69),MIN(D80*C80/12+'Immobilien-Kalkulation'!$B$74/12,D80*(1+C80/12)),MIN('Immobilien-Kalkulation'!$B$67,D80*(1+C80/12))))</f>
        <v>1429.9603560928113</v>
      </c>
      <c r="F80" s="53">
        <f>IF(OR(A80&gt;'Immobilien-Kalkulation'!$B$70*12,D80&lt;=0),0,D80*C80/12)</f>
        <v>804.63360873442889</v>
      </c>
      <c r="G80" s="53">
        <f>IF(OR(A80&gt;'Immobilien-Kalkulation'!$B$70*12,D80&lt;=0),0,MAX(0,MIN(D80,E80-F80)))</f>
        <v>625.32674735838236</v>
      </c>
      <c r="H80" s="95">
        <v>0</v>
      </c>
      <c r="I80" s="53">
        <f>IF(A80&gt;'Immobilien-Kalkulation'!$B$70*12,0,MAX(0,D80-G80-J80))</f>
        <v>275249.05339016009</v>
      </c>
      <c r="J80" s="53">
        <f>IF(OR(A80&gt;'Immobilien-Kalkulation'!$B$70*12,D80&lt;=0),0,MIN(H80,MAX(0,D80-G80)))</f>
        <v>0</v>
      </c>
    </row>
    <row r="81" spans="1:10" x14ac:dyDescent="0.25">
      <c r="A81">
        <v>78</v>
      </c>
      <c r="B81">
        <f t="shared" si="1"/>
        <v>7</v>
      </c>
      <c r="C81" s="28">
        <f>IF(A81&gt;'Immobilien-Kalkulation'!$B$70*12,0,IF(AND('Immobilien-Kalkulation'!$B$72=1,B81&gt;'Immobilien-Kalkulation'!$B$69),'Immobilien-Kalkulation'!$B$73,'Immobilien-Kalkulation'!$B$65))</f>
        <v>3.5000000000000003E-2</v>
      </c>
      <c r="D81" s="53">
        <f>IF(A81&gt;'Immobilien-Kalkulation'!$B$70*12,0,I80)</f>
        <v>275249.05339016009</v>
      </c>
      <c r="E81" s="53">
        <f>IF(OR(A81&gt;'Immobilien-Kalkulation'!$B$70*12,D81&lt;=0),0,IF(AND('Immobilien-Kalkulation'!$B$72=1,B81&gt;'Immobilien-Kalkulation'!$B$69),MIN(D81*C81/12+'Immobilien-Kalkulation'!$B$74/12,D81*(1+C81/12)),MIN('Immobilien-Kalkulation'!$B$67,D81*(1+C81/12))))</f>
        <v>1429.9603560928113</v>
      </c>
      <c r="F81" s="53">
        <f>IF(OR(A81&gt;'Immobilien-Kalkulation'!$B$70*12,D81&lt;=0),0,D81*C81/12)</f>
        <v>802.80973905463361</v>
      </c>
      <c r="G81" s="53">
        <f>IF(OR(A81&gt;'Immobilien-Kalkulation'!$B$70*12,D81&lt;=0),0,MAX(0,MIN(D81,E81-F81)))</f>
        <v>627.15061703817764</v>
      </c>
      <c r="H81" s="95">
        <v>0</v>
      </c>
      <c r="I81" s="53">
        <f>IF(A81&gt;'Immobilien-Kalkulation'!$B$70*12,0,MAX(0,D81-G81-J81))</f>
        <v>274621.9027731219</v>
      </c>
      <c r="J81" s="53">
        <f>IF(OR(A81&gt;'Immobilien-Kalkulation'!$B$70*12,D81&lt;=0),0,MIN(H81,MAX(0,D81-G81)))</f>
        <v>0</v>
      </c>
    </row>
    <row r="82" spans="1:10" x14ac:dyDescent="0.25">
      <c r="A82">
        <v>79</v>
      </c>
      <c r="B82">
        <f t="shared" si="1"/>
        <v>7</v>
      </c>
      <c r="C82" s="28">
        <f>IF(A82&gt;'Immobilien-Kalkulation'!$B$70*12,0,IF(AND('Immobilien-Kalkulation'!$B$72=1,B82&gt;'Immobilien-Kalkulation'!$B$69),'Immobilien-Kalkulation'!$B$73,'Immobilien-Kalkulation'!$B$65))</f>
        <v>3.5000000000000003E-2</v>
      </c>
      <c r="D82" s="53">
        <f>IF(A82&gt;'Immobilien-Kalkulation'!$B$70*12,0,I81)</f>
        <v>274621.9027731219</v>
      </c>
      <c r="E82" s="53">
        <f>IF(OR(A82&gt;'Immobilien-Kalkulation'!$B$70*12,D82&lt;=0),0,IF(AND('Immobilien-Kalkulation'!$B$72=1,B82&gt;'Immobilien-Kalkulation'!$B$69),MIN(D82*C82/12+'Immobilien-Kalkulation'!$B$74/12,D82*(1+C82/12)),MIN('Immobilien-Kalkulation'!$B$67,D82*(1+C82/12))))</f>
        <v>1429.9603560928113</v>
      </c>
      <c r="F82" s="53">
        <f>IF(OR(A82&gt;'Immobilien-Kalkulation'!$B$70*12,D82&lt;=0),0,D82*C82/12)</f>
        <v>800.98054975493903</v>
      </c>
      <c r="G82" s="53">
        <f>IF(OR(A82&gt;'Immobilien-Kalkulation'!$B$70*12,D82&lt;=0),0,MAX(0,MIN(D82,E82-F82)))</f>
        <v>628.97980633787222</v>
      </c>
      <c r="H82" s="95">
        <v>0</v>
      </c>
      <c r="I82" s="53">
        <f>IF(A82&gt;'Immobilien-Kalkulation'!$B$70*12,0,MAX(0,D82-G82-J82))</f>
        <v>273992.92296678404</v>
      </c>
      <c r="J82" s="53">
        <f>IF(OR(A82&gt;'Immobilien-Kalkulation'!$B$70*12,D82&lt;=0),0,MIN(H82,MAX(0,D82-G82)))</f>
        <v>0</v>
      </c>
    </row>
    <row r="83" spans="1:10" x14ac:dyDescent="0.25">
      <c r="A83">
        <v>80</v>
      </c>
      <c r="B83">
        <f t="shared" si="1"/>
        <v>7</v>
      </c>
      <c r="C83" s="28">
        <f>IF(A83&gt;'Immobilien-Kalkulation'!$B$70*12,0,IF(AND('Immobilien-Kalkulation'!$B$72=1,B83&gt;'Immobilien-Kalkulation'!$B$69),'Immobilien-Kalkulation'!$B$73,'Immobilien-Kalkulation'!$B$65))</f>
        <v>3.5000000000000003E-2</v>
      </c>
      <c r="D83" s="53">
        <f>IF(A83&gt;'Immobilien-Kalkulation'!$B$70*12,0,I82)</f>
        <v>273992.92296678404</v>
      </c>
      <c r="E83" s="53">
        <f>IF(OR(A83&gt;'Immobilien-Kalkulation'!$B$70*12,D83&lt;=0),0,IF(AND('Immobilien-Kalkulation'!$B$72=1,B83&gt;'Immobilien-Kalkulation'!$B$69),MIN(D83*C83/12+'Immobilien-Kalkulation'!$B$74/12,D83*(1+C83/12)),MIN('Immobilien-Kalkulation'!$B$67,D83*(1+C83/12))))</f>
        <v>1429.9603560928113</v>
      </c>
      <c r="F83" s="53">
        <f>IF(OR(A83&gt;'Immobilien-Kalkulation'!$B$70*12,D83&lt;=0),0,D83*C83/12)</f>
        <v>799.14602531978687</v>
      </c>
      <c r="G83" s="53">
        <f>IF(OR(A83&gt;'Immobilien-Kalkulation'!$B$70*12,D83&lt;=0),0,MAX(0,MIN(D83,E83-F83)))</f>
        <v>630.81433077302438</v>
      </c>
      <c r="H83" s="95">
        <v>0</v>
      </c>
      <c r="I83" s="53">
        <f>IF(A83&gt;'Immobilien-Kalkulation'!$B$70*12,0,MAX(0,D83-G83-J83))</f>
        <v>273362.10863601102</v>
      </c>
      <c r="J83" s="53">
        <f>IF(OR(A83&gt;'Immobilien-Kalkulation'!$B$70*12,D83&lt;=0),0,MIN(H83,MAX(0,D83-G83)))</f>
        <v>0</v>
      </c>
    </row>
    <row r="84" spans="1:10" x14ac:dyDescent="0.25">
      <c r="A84">
        <v>81</v>
      </c>
      <c r="B84">
        <f t="shared" si="1"/>
        <v>7</v>
      </c>
      <c r="C84" s="28">
        <f>IF(A84&gt;'Immobilien-Kalkulation'!$B$70*12,0,IF(AND('Immobilien-Kalkulation'!$B$72=1,B84&gt;'Immobilien-Kalkulation'!$B$69),'Immobilien-Kalkulation'!$B$73,'Immobilien-Kalkulation'!$B$65))</f>
        <v>3.5000000000000003E-2</v>
      </c>
      <c r="D84" s="53">
        <f>IF(A84&gt;'Immobilien-Kalkulation'!$B$70*12,0,I83)</f>
        <v>273362.10863601102</v>
      </c>
      <c r="E84" s="53">
        <f>IF(OR(A84&gt;'Immobilien-Kalkulation'!$B$70*12,D84&lt;=0),0,IF(AND('Immobilien-Kalkulation'!$B$72=1,B84&gt;'Immobilien-Kalkulation'!$B$69),MIN(D84*C84/12+'Immobilien-Kalkulation'!$B$74/12,D84*(1+C84/12)),MIN('Immobilien-Kalkulation'!$B$67,D84*(1+C84/12))))</f>
        <v>1429.9603560928113</v>
      </c>
      <c r="F84" s="53">
        <f>IF(OR(A84&gt;'Immobilien-Kalkulation'!$B$70*12,D84&lt;=0),0,D84*C84/12)</f>
        <v>797.30615018836545</v>
      </c>
      <c r="G84" s="53">
        <f>IF(OR(A84&gt;'Immobilien-Kalkulation'!$B$70*12,D84&lt;=0),0,MAX(0,MIN(D84,E84-F84)))</f>
        <v>632.6542059044458</v>
      </c>
      <c r="H84" s="95">
        <v>0</v>
      </c>
      <c r="I84" s="53">
        <f>IF(A84&gt;'Immobilien-Kalkulation'!$B$70*12,0,MAX(0,D84-G84-J84))</f>
        <v>272729.45443010656</v>
      </c>
      <c r="J84" s="53">
        <f>IF(OR(A84&gt;'Immobilien-Kalkulation'!$B$70*12,D84&lt;=0),0,MIN(H84,MAX(0,D84-G84)))</f>
        <v>0</v>
      </c>
    </row>
    <row r="85" spans="1:10" x14ac:dyDescent="0.25">
      <c r="A85">
        <v>82</v>
      </c>
      <c r="B85">
        <f t="shared" si="1"/>
        <v>7</v>
      </c>
      <c r="C85" s="28">
        <f>IF(A85&gt;'Immobilien-Kalkulation'!$B$70*12,0,IF(AND('Immobilien-Kalkulation'!$B$72=1,B85&gt;'Immobilien-Kalkulation'!$B$69),'Immobilien-Kalkulation'!$B$73,'Immobilien-Kalkulation'!$B$65))</f>
        <v>3.5000000000000003E-2</v>
      </c>
      <c r="D85" s="53">
        <f>IF(A85&gt;'Immobilien-Kalkulation'!$B$70*12,0,I84)</f>
        <v>272729.45443010656</v>
      </c>
      <c r="E85" s="53">
        <f>IF(OR(A85&gt;'Immobilien-Kalkulation'!$B$70*12,D85&lt;=0),0,IF(AND('Immobilien-Kalkulation'!$B$72=1,B85&gt;'Immobilien-Kalkulation'!$B$69),MIN(D85*C85/12+'Immobilien-Kalkulation'!$B$74/12,D85*(1+C85/12)),MIN('Immobilien-Kalkulation'!$B$67,D85*(1+C85/12))))</f>
        <v>1429.9603560928113</v>
      </c>
      <c r="F85" s="53">
        <f>IF(OR(A85&gt;'Immobilien-Kalkulation'!$B$70*12,D85&lt;=0),0,D85*C85/12)</f>
        <v>795.4609087544776</v>
      </c>
      <c r="G85" s="53">
        <f>IF(OR(A85&gt;'Immobilien-Kalkulation'!$B$70*12,D85&lt;=0),0,MAX(0,MIN(D85,E85-F85)))</f>
        <v>634.49944733833365</v>
      </c>
      <c r="H85" s="95">
        <v>0</v>
      </c>
      <c r="I85" s="53">
        <f>IF(A85&gt;'Immobilien-Kalkulation'!$B$70*12,0,MAX(0,D85-G85-J85))</f>
        <v>272094.95498276822</v>
      </c>
      <c r="J85" s="53">
        <f>IF(OR(A85&gt;'Immobilien-Kalkulation'!$B$70*12,D85&lt;=0),0,MIN(H85,MAX(0,D85-G85)))</f>
        <v>0</v>
      </c>
    </row>
    <row r="86" spans="1:10" x14ac:dyDescent="0.25">
      <c r="A86">
        <v>83</v>
      </c>
      <c r="B86">
        <f t="shared" si="1"/>
        <v>7</v>
      </c>
      <c r="C86" s="28">
        <f>IF(A86&gt;'Immobilien-Kalkulation'!$B$70*12,0,IF(AND('Immobilien-Kalkulation'!$B$72=1,B86&gt;'Immobilien-Kalkulation'!$B$69),'Immobilien-Kalkulation'!$B$73,'Immobilien-Kalkulation'!$B$65))</f>
        <v>3.5000000000000003E-2</v>
      </c>
      <c r="D86" s="53">
        <f>IF(A86&gt;'Immobilien-Kalkulation'!$B$70*12,0,I85)</f>
        <v>272094.95498276822</v>
      </c>
      <c r="E86" s="53">
        <f>IF(OR(A86&gt;'Immobilien-Kalkulation'!$B$70*12,D86&lt;=0),0,IF(AND('Immobilien-Kalkulation'!$B$72=1,B86&gt;'Immobilien-Kalkulation'!$B$69),MIN(D86*C86/12+'Immobilien-Kalkulation'!$B$74/12,D86*(1+C86/12)),MIN('Immobilien-Kalkulation'!$B$67,D86*(1+C86/12))))</f>
        <v>1429.9603560928113</v>
      </c>
      <c r="F86" s="53">
        <f>IF(OR(A86&gt;'Immobilien-Kalkulation'!$B$70*12,D86&lt;=0),0,D86*C86/12)</f>
        <v>793.61028536640742</v>
      </c>
      <c r="G86" s="53">
        <f>IF(OR(A86&gt;'Immobilien-Kalkulation'!$B$70*12,D86&lt;=0),0,MAX(0,MIN(D86,E86-F86)))</f>
        <v>636.35007072640383</v>
      </c>
      <c r="H86" s="95">
        <v>0</v>
      </c>
      <c r="I86" s="53">
        <f>IF(A86&gt;'Immobilien-Kalkulation'!$B$70*12,0,MAX(0,D86-G86-J86))</f>
        <v>271458.6049120418</v>
      </c>
      <c r="J86" s="53">
        <f>IF(OR(A86&gt;'Immobilien-Kalkulation'!$B$70*12,D86&lt;=0),0,MIN(H86,MAX(0,D86-G86)))</f>
        <v>0</v>
      </c>
    </row>
    <row r="87" spans="1:10" x14ac:dyDescent="0.25">
      <c r="A87">
        <v>84</v>
      </c>
      <c r="B87">
        <f t="shared" si="1"/>
        <v>7</v>
      </c>
      <c r="C87" s="28">
        <f>IF(A87&gt;'Immobilien-Kalkulation'!$B$70*12,0,IF(AND('Immobilien-Kalkulation'!$B$72=1,B87&gt;'Immobilien-Kalkulation'!$B$69),'Immobilien-Kalkulation'!$B$73,'Immobilien-Kalkulation'!$B$65))</f>
        <v>3.5000000000000003E-2</v>
      </c>
      <c r="D87" s="53">
        <f>IF(A87&gt;'Immobilien-Kalkulation'!$B$70*12,0,I86)</f>
        <v>271458.6049120418</v>
      </c>
      <c r="E87" s="53">
        <f>IF(OR(A87&gt;'Immobilien-Kalkulation'!$B$70*12,D87&lt;=0),0,IF(AND('Immobilien-Kalkulation'!$B$72=1,B87&gt;'Immobilien-Kalkulation'!$B$69),MIN(D87*C87/12+'Immobilien-Kalkulation'!$B$74/12,D87*(1+C87/12)),MIN('Immobilien-Kalkulation'!$B$67,D87*(1+C87/12))))</f>
        <v>1429.9603560928113</v>
      </c>
      <c r="F87" s="53">
        <f>IF(OR(A87&gt;'Immobilien-Kalkulation'!$B$70*12,D87&lt;=0),0,D87*C87/12)</f>
        <v>791.75426432678876</v>
      </c>
      <c r="G87" s="53">
        <f>IF(OR(A87&gt;'Immobilien-Kalkulation'!$B$70*12,D87&lt;=0),0,MAX(0,MIN(D87,E87-F87)))</f>
        <v>638.2060917660225</v>
      </c>
      <c r="H87" s="95">
        <v>0</v>
      </c>
      <c r="I87" s="53">
        <f>IF(A87&gt;'Immobilien-Kalkulation'!$B$70*12,0,MAX(0,D87-G87-J87))</f>
        <v>270820.39882027579</v>
      </c>
      <c r="J87" s="53">
        <f>IF(OR(A87&gt;'Immobilien-Kalkulation'!$B$70*12,D87&lt;=0),0,MIN(H87,MAX(0,D87-G87)))</f>
        <v>0</v>
      </c>
    </row>
    <row r="88" spans="1:10" x14ac:dyDescent="0.25">
      <c r="A88">
        <v>85</v>
      </c>
      <c r="B88">
        <f t="shared" si="1"/>
        <v>8</v>
      </c>
      <c r="C88" s="28">
        <f>IF(A88&gt;'Immobilien-Kalkulation'!$B$70*12,0,IF(AND('Immobilien-Kalkulation'!$B$72=1,B88&gt;'Immobilien-Kalkulation'!$B$69),'Immobilien-Kalkulation'!$B$73,'Immobilien-Kalkulation'!$B$65))</f>
        <v>3.5000000000000003E-2</v>
      </c>
      <c r="D88" s="53">
        <f>IF(A88&gt;'Immobilien-Kalkulation'!$B$70*12,0,I87)</f>
        <v>270820.39882027579</v>
      </c>
      <c r="E88" s="53">
        <f>IF(OR(A88&gt;'Immobilien-Kalkulation'!$B$70*12,D88&lt;=0),0,IF(AND('Immobilien-Kalkulation'!$B$72=1,B88&gt;'Immobilien-Kalkulation'!$B$69),MIN(D88*C88/12+'Immobilien-Kalkulation'!$B$74/12,D88*(1+C88/12)),MIN('Immobilien-Kalkulation'!$B$67,D88*(1+C88/12))))</f>
        <v>1429.9603560928113</v>
      </c>
      <c r="F88" s="53">
        <f>IF(OR(A88&gt;'Immobilien-Kalkulation'!$B$70*12,D88&lt;=0),0,D88*C88/12)</f>
        <v>789.89282989247113</v>
      </c>
      <c r="G88" s="53">
        <f>IF(OR(A88&gt;'Immobilien-Kalkulation'!$B$70*12,D88&lt;=0),0,MAX(0,MIN(D88,E88-F88)))</f>
        <v>640.06752620034013</v>
      </c>
      <c r="H88" s="95">
        <v>0</v>
      </c>
      <c r="I88" s="53">
        <f>IF(A88&gt;'Immobilien-Kalkulation'!$B$70*12,0,MAX(0,D88-G88-J88))</f>
        <v>270180.33129407547</v>
      </c>
      <c r="J88" s="53">
        <f>IF(OR(A88&gt;'Immobilien-Kalkulation'!$B$70*12,D88&lt;=0),0,MIN(H88,MAX(0,D88-G88)))</f>
        <v>0</v>
      </c>
    </row>
    <row r="89" spans="1:10" x14ac:dyDescent="0.25">
      <c r="A89">
        <v>86</v>
      </c>
      <c r="B89">
        <f t="shared" si="1"/>
        <v>8</v>
      </c>
      <c r="C89" s="28">
        <f>IF(A89&gt;'Immobilien-Kalkulation'!$B$70*12,0,IF(AND('Immobilien-Kalkulation'!$B$72=1,B89&gt;'Immobilien-Kalkulation'!$B$69),'Immobilien-Kalkulation'!$B$73,'Immobilien-Kalkulation'!$B$65))</f>
        <v>3.5000000000000003E-2</v>
      </c>
      <c r="D89" s="53">
        <f>IF(A89&gt;'Immobilien-Kalkulation'!$B$70*12,0,I88)</f>
        <v>270180.33129407547</v>
      </c>
      <c r="E89" s="53">
        <f>IF(OR(A89&gt;'Immobilien-Kalkulation'!$B$70*12,D89&lt;=0),0,IF(AND('Immobilien-Kalkulation'!$B$72=1,B89&gt;'Immobilien-Kalkulation'!$B$69),MIN(D89*C89/12+'Immobilien-Kalkulation'!$B$74/12,D89*(1+C89/12)),MIN('Immobilien-Kalkulation'!$B$67,D89*(1+C89/12))))</f>
        <v>1429.9603560928113</v>
      </c>
      <c r="F89" s="53">
        <f>IF(OR(A89&gt;'Immobilien-Kalkulation'!$B$70*12,D89&lt;=0),0,D89*C89/12)</f>
        <v>788.02596627438686</v>
      </c>
      <c r="G89" s="53">
        <f>IF(OR(A89&gt;'Immobilien-Kalkulation'!$B$70*12,D89&lt;=0),0,MAX(0,MIN(D89,E89-F89)))</f>
        <v>641.93438981842439</v>
      </c>
      <c r="H89" s="95">
        <v>0</v>
      </c>
      <c r="I89" s="53">
        <f>IF(A89&gt;'Immobilien-Kalkulation'!$B$70*12,0,MAX(0,D89-G89-J89))</f>
        <v>269538.39690425707</v>
      </c>
      <c r="J89" s="53">
        <f>IF(OR(A89&gt;'Immobilien-Kalkulation'!$B$70*12,D89&lt;=0),0,MIN(H89,MAX(0,D89-G89)))</f>
        <v>0</v>
      </c>
    </row>
    <row r="90" spans="1:10" x14ac:dyDescent="0.25">
      <c r="A90">
        <v>87</v>
      </c>
      <c r="B90">
        <f t="shared" si="1"/>
        <v>8</v>
      </c>
      <c r="C90" s="28">
        <f>IF(A90&gt;'Immobilien-Kalkulation'!$B$70*12,0,IF(AND('Immobilien-Kalkulation'!$B$72=1,B90&gt;'Immobilien-Kalkulation'!$B$69),'Immobilien-Kalkulation'!$B$73,'Immobilien-Kalkulation'!$B$65))</f>
        <v>3.5000000000000003E-2</v>
      </c>
      <c r="D90" s="53">
        <f>IF(A90&gt;'Immobilien-Kalkulation'!$B$70*12,0,I89)</f>
        <v>269538.39690425707</v>
      </c>
      <c r="E90" s="53">
        <f>IF(OR(A90&gt;'Immobilien-Kalkulation'!$B$70*12,D90&lt;=0),0,IF(AND('Immobilien-Kalkulation'!$B$72=1,B90&gt;'Immobilien-Kalkulation'!$B$69),MIN(D90*C90/12+'Immobilien-Kalkulation'!$B$74/12,D90*(1+C90/12)),MIN('Immobilien-Kalkulation'!$B$67,D90*(1+C90/12))))</f>
        <v>1429.9603560928113</v>
      </c>
      <c r="F90" s="53">
        <f>IF(OR(A90&gt;'Immobilien-Kalkulation'!$B$70*12,D90&lt;=0),0,D90*C90/12)</f>
        <v>786.15365763741647</v>
      </c>
      <c r="G90" s="53">
        <f>IF(OR(A90&gt;'Immobilien-Kalkulation'!$B$70*12,D90&lt;=0),0,MAX(0,MIN(D90,E90-F90)))</f>
        <v>643.80669845539478</v>
      </c>
      <c r="H90" s="95">
        <v>0</v>
      </c>
      <c r="I90" s="53">
        <f>IF(A90&gt;'Immobilien-Kalkulation'!$B$70*12,0,MAX(0,D90-G90-J90))</f>
        <v>268894.59020580165</v>
      </c>
      <c r="J90" s="53">
        <f>IF(OR(A90&gt;'Immobilien-Kalkulation'!$B$70*12,D90&lt;=0),0,MIN(H90,MAX(0,D90-G90)))</f>
        <v>0</v>
      </c>
    </row>
    <row r="91" spans="1:10" x14ac:dyDescent="0.25">
      <c r="A91">
        <v>88</v>
      </c>
      <c r="B91">
        <f t="shared" si="1"/>
        <v>8</v>
      </c>
      <c r="C91" s="28">
        <f>IF(A91&gt;'Immobilien-Kalkulation'!$B$70*12,0,IF(AND('Immobilien-Kalkulation'!$B$72=1,B91&gt;'Immobilien-Kalkulation'!$B$69),'Immobilien-Kalkulation'!$B$73,'Immobilien-Kalkulation'!$B$65))</f>
        <v>3.5000000000000003E-2</v>
      </c>
      <c r="D91" s="53">
        <f>IF(A91&gt;'Immobilien-Kalkulation'!$B$70*12,0,I90)</f>
        <v>268894.59020580165</v>
      </c>
      <c r="E91" s="53">
        <f>IF(OR(A91&gt;'Immobilien-Kalkulation'!$B$70*12,D91&lt;=0),0,IF(AND('Immobilien-Kalkulation'!$B$72=1,B91&gt;'Immobilien-Kalkulation'!$B$69),MIN(D91*C91/12+'Immobilien-Kalkulation'!$B$74/12,D91*(1+C91/12)),MIN('Immobilien-Kalkulation'!$B$67,D91*(1+C91/12))))</f>
        <v>1429.9603560928113</v>
      </c>
      <c r="F91" s="53">
        <f>IF(OR(A91&gt;'Immobilien-Kalkulation'!$B$70*12,D91&lt;=0),0,D91*C91/12)</f>
        <v>784.27588810025497</v>
      </c>
      <c r="G91" s="53">
        <f>IF(OR(A91&gt;'Immobilien-Kalkulation'!$B$70*12,D91&lt;=0),0,MAX(0,MIN(D91,E91-F91)))</f>
        <v>645.68446799255628</v>
      </c>
      <c r="H91" s="95">
        <v>0</v>
      </c>
      <c r="I91" s="53">
        <f>IF(A91&gt;'Immobilien-Kalkulation'!$B$70*12,0,MAX(0,D91-G91-J91))</f>
        <v>268248.90573780908</v>
      </c>
      <c r="J91" s="53">
        <f>IF(OR(A91&gt;'Immobilien-Kalkulation'!$B$70*12,D91&lt;=0),0,MIN(H91,MAX(0,D91-G91)))</f>
        <v>0</v>
      </c>
    </row>
    <row r="92" spans="1:10" x14ac:dyDescent="0.25">
      <c r="A92">
        <v>89</v>
      </c>
      <c r="B92">
        <f t="shared" si="1"/>
        <v>8</v>
      </c>
      <c r="C92" s="28">
        <f>IF(A92&gt;'Immobilien-Kalkulation'!$B$70*12,0,IF(AND('Immobilien-Kalkulation'!$B$72=1,B92&gt;'Immobilien-Kalkulation'!$B$69),'Immobilien-Kalkulation'!$B$73,'Immobilien-Kalkulation'!$B$65))</f>
        <v>3.5000000000000003E-2</v>
      </c>
      <c r="D92" s="53">
        <f>IF(A92&gt;'Immobilien-Kalkulation'!$B$70*12,0,I91)</f>
        <v>268248.90573780908</v>
      </c>
      <c r="E92" s="53">
        <f>IF(OR(A92&gt;'Immobilien-Kalkulation'!$B$70*12,D92&lt;=0),0,IF(AND('Immobilien-Kalkulation'!$B$72=1,B92&gt;'Immobilien-Kalkulation'!$B$69),MIN(D92*C92/12+'Immobilien-Kalkulation'!$B$74/12,D92*(1+C92/12)),MIN('Immobilien-Kalkulation'!$B$67,D92*(1+C92/12))))</f>
        <v>1429.9603560928113</v>
      </c>
      <c r="F92" s="53">
        <f>IF(OR(A92&gt;'Immobilien-Kalkulation'!$B$70*12,D92&lt;=0),0,D92*C92/12)</f>
        <v>782.39264173527647</v>
      </c>
      <c r="G92" s="53">
        <f>IF(OR(A92&gt;'Immobilien-Kalkulation'!$B$70*12,D92&lt;=0),0,MAX(0,MIN(D92,E92-F92)))</f>
        <v>647.56771435753478</v>
      </c>
      <c r="H92" s="95">
        <v>0</v>
      </c>
      <c r="I92" s="53">
        <f>IF(A92&gt;'Immobilien-Kalkulation'!$B$70*12,0,MAX(0,D92-G92-J92))</f>
        <v>267601.33802345156</v>
      </c>
      <c r="J92" s="53">
        <f>IF(OR(A92&gt;'Immobilien-Kalkulation'!$B$70*12,D92&lt;=0),0,MIN(H92,MAX(0,D92-G92)))</f>
        <v>0</v>
      </c>
    </row>
    <row r="93" spans="1:10" x14ac:dyDescent="0.25">
      <c r="A93">
        <v>90</v>
      </c>
      <c r="B93">
        <f t="shared" si="1"/>
        <v>8</v>
      </c>
      <c r="C93" s="28">
        <f>IF(A93&gt;'Immobilien-Kalkulation'!$B$70*12,0,IF(AND('Immobilien-Kalkulation'!$B$72=1,B93&gt;'Immobilien-Kalkulation'!$B$69),'Immobilien-Kalkulation'!$B$73,'Immobilien-Kalkulation'!$B$65))</f>
        <v>3.5000000000000003E-2</v>
      </c>
      <c r="D93" s="53">
        <f>IF(A93&gt;'Immobilien-Kalkulation'!$B$70*12,0,I92)</f>
        <v>267601.33802345156</v>
      </c>
      <c r="E93" s="53">
        <f>IF(OR(A93&gt;'Immobilien-Kalkulation'!$B$70*12,D93&lt;=0),0,IF(AND('Immobilien-Kalkulation'!$B$72=1,B93&gt;'Immobilien-Kalkulation'!$B$69),MIN(D93*C93/12+'Immobilien-Kalkulation'!$B$74/12,D93*(1+C93/12)),MIN('Immobilien-Kalkulation'!$B$67,D93*(1+C93/12))))</f>
        <v>1429.9603560928113</v>
      </c>
      <c r="F93" s="53">
        <f>IF(OR(A93&gt;'Immobilien-Kalkulation'!$B$70*12,D93&lt;=0),0,D93*C93/12)</f>
        <v>780.50390256840046</v>
      </c>
      <c r="G93" s="53">
        <f>IF(OR(A93&gt;'Immobilien-Kalkulation'!$B$70*12,D93&lt;=0),0,MAX(0,MIN(D93,E93-F93)))</f>
        <v>649.45645352441079</v>
      </c>
      <c r="H93" s="95">
        <v>0</v>
      </c>
      <c r="I93" s="53">
        <f>IF(A93&gt;'Immobilien-Kalkulation'!$B$70*12,0,MAX(0,D93-G93-J93))</f>
        <v>266951.88156992715</v>
      </c>
      <c r="J93" s="53">
        <f>IF(OR(A93&gt;'Immobilien-Kalkulation'!$B$70*12,D93&lt;=0),0,MIN(H93,MAX(0,D93-G93)))</f>
        <v>0</v>
      </c>
    </row>
    <row r="94" spans="1:10" x14ac:dyDescent="0.25">
      <c r="A94">
        <v>91</v>
      </c>
      <c r="B94">
        <f t="shared" si="1"/>
        <v>8</v>
      </c>
      <c r="C94" s="28">
        <f>IF(A94&gt;'Immobilien-Kalkulation'!$B$70*12,0,IF(AND('Immobilien-Kalkulation'!$B$72=1,B94&gt;'Immobilien-Kalkulation'!$B$69),'Immobilien-Kalkulation'!$B$73,'Immobilien-Kalkulation'!$B$65))</f>
        <v>3.5000000000000003E-2</v>
      </c>
      <c r="D94" s="53">
        <f>IF(A94&gt;'Immobilien-Kalkulation'!$B$70*12,0,I93)</f>
        <v>266951.88156992715</v>
      </c>
      <c r="E94" s="53">
        <f>IF(OR(A94&gt;'Immobilien-Kalkulation'!$B$70*12,D94&lt;=0),0,IF(AND('Immobilien-Kalkulation'!$B$72=1,B94&gt;'Immobilien-Kalkulation'!$B$69),MIN(D94*C94/12+'Immobilien-Kalkulation'!$B$74/12,D94*(1+C94/12)),MIN('Immobilien-Kalkulation'!$B$67,D94*(1+C94/12))))</f>
        <v>1429.9603560928113</v>
      </c>
      <c r="F94" s="53">
        <f>IF(OR(A94&gt;'Immobilien-Kalkulation'!$B$70*12,D94&lt;=0),0,D94*C94/12)</f>
        <v>778.60965457895429</v>
      </c>
      <c r="G94" s="53">
        <f>IF(OR(A94&gt;'Immobilien-Kalkulation'!$B$70*12,D94&lt;=0),0,MAX(0,MIN(D94,E94-F94)))</f>
        <v>651.35070151385696</v>
      </c>
      <c r="H94" s="95">
        <v>0</v>
      </c>
      <c r="I94" s="53">
        <f>IF(A94&gt;'Immobilien-Kalkulation'!$B$70*12,0,MAX(0,D94-G94-J94))</f>
        <v>266300.53086841328</v>
      </c>
      <c r="J94" s="53">
        <f>IF(OR(A94&gt;'Immobilien-Kalkulation'!$B$70*12,D94&lt;=0),0,MIN(H94,MAX(0,D94-G94)))</f>
        <v>0</v>
      </c>
    </row>
    <row r="95" spans="1:10" x14ac:dyDescent="0.25">
      <c r="A95">
        <v>92</v>
      </c>
      <c r="B95">
        <f t="shared" si="1"/>
        <v>8</v>
      </c>
      <c r="C95" s="28">
        <f>IF(A95&gt;'Immobilien-Kalkulation'!$B$70*12,0,IF(AND('Immobilien-Kalkulation'!$B$72=1,B95&gt;'Immobilien-Kalkulation'!$B$69),'Immobilien-Kalkulation'!$B$73,'Immobilien-Kalkulation'!$B$65))</f>
        <v>3.5000000000000003E-2</v>
      </c>
      <c r="D95" s="53">
        <f>IF(A95&gt;'Immobilien-Kalkulation'!$B$70*12,0,I94)</f>
        <v>266300.53086841328</v>
      </c>
      <c r="E95" s="53">
        <f>IF(OR(A95&gt;'Immobilien-Kalkulation'!$B$70*12,D95&lt;=0),0,IF(AND('Immobilien-Kalkulation'!$B$72=1,B95&gt;'Immobilien-Kalkulation'!$B$69),MIN(D95*C95/12+'Immobilien-Kalkulation'!$B$74/12,D95*(1+C95/12)),MIN('Immobilien-Kalkulation'!$B$67,D95*(1+C95/12))))</f>
        <v>1429.9603560928113</v>
      </c>
      <c r="F95" s="53">
        <f>IF(OR(A95&gt;'Immobilien-Kalkulation'!$B$70*12,D95&lt;=0),0,D95*C95/12)</f>
        <v>776.70988169953887</v>
      </c>
      <c r="G95" s="53">
        <f>IF(OR(A95&gt;'Immobilien-Kalkulation'!$B$70*12,D95&lt;=0),0,MAX(0,MIN(D95,E95-F95)))</f>
        <v>653.25047439327238</v>
      </c>
      <c r="H95" s="95">
        <v>0</v>
      </c>
      <c r="I95" s="53">
        <f>IF(A95&gt;'Immobilien-Kalkulation'!$B$70*12,0,MAX(0,D95-G95-J95))</f>
        <v>265647.28039402002</v>
      </c>
      <c r="J95" s="53">
        <f>IF(OR(A95&gt;'Immobilien-Kalkulation'!$B$70*12,D95&lt;=0),0,MIN(H95,MAX(0,D95-G95)))</f>
        <v>0</v>
      </c>
    </row>
    <row r="96" spans="1:10" x14ac:dyDescent="0.25">
      <c r="A96">
        <v>93</v>
      </c>
      <c r="B96">
        <f t="shared" si="1"/>
        <v>8</v>
      </c>
      <c r="C96" s="28">
        <f>IF(A96&gt;'Immobilien-Kalkulation'!$B$70*12,0,IF(AND('Immobilien-Kalkulation'!$B$72=1,B96&gt;'Immobilien-Kalkulation'!$B$69),'Immobilien-Kalkulation'!$B$73,'Immobilien-Kalkulation'!$B$65))</f>
        <v>3.5000000000000003E-2</v>
      </c>
      <c r="D96" s="53">
        <f>IF(A96&gt;'Immobilien-Kalkulation'!$B$70*12,0,I95)</f>
        <v>265647.28039402002</v>
      </c>
      <c r="E96" s="53">
        <f>IF(OR(A96&gt;'Immobilien-Kalkulation'!$B$70*12,D96&lt;=0),0,IF(AND('Immobilien-Kalkulation'!$B$72=1,B96&gt;'Immobilien-Kalkulation'!$B$69),MIN(D96*C96/12+'Immobilien-Kalkulation'!$B$74/12,D96*(1+C96/12)),MIN('Immobilien-Kalkulation'!$B$67,D96*(1+C96/12))))</f>
        <v>1429.9603560928113</v>
      </c>
      <c r="F96" s="53">
        <f>IF(OR(A96&gt;'Immobilien-Kalkulation'!$B$70*12,D96&lt;=0),0,D96*C96/12)</f>
        <v>774.8045678158918</v>
      </c>
      <c r="G96" s="53">
        <f>IF(OR(A96&gt;'Immobilien-Kalkulation'!$B$70*12,D96&lt;=0),0,MAX(0,MIN(D96,E96-F96)))</f>
        <v>655.15578827691945</v>
      </c>
      <c r="H96" s="95">
        <v>0</v>
      </c>
      <c r="I96" s="53">
        <f>IF(A96&gt;'Immobilien-Kalkulation'!$B$70*12,0,MAX(0,D96-G96-J96))</f>
        <v>264992.1246057431</v>
      </c>
      <c r="J96" s="53">
        <f>IF(OR(A96&gt;'Immobilien-Kalkulation'!$B$70*12,D96&lt;=0),0,MIN(H96,MAX(0,D96-G96)))</f>
        <v>0</v>
      </c>
    </row>
    <row r="97" spans="1:10" x14ac:dyDescent="0.25">
      <c r="A97">
        <v>94</v>
      </c>
      <c r="B97">
        <f t="shared" si="1"/>
        <v>8</v>
      </c>
      <c r="C97" s="28">
        <f>IF(A97&gt;'Immobilien-Kalkulation'!$B$70*12,0,IF(AND('Immobilien-Kalkulation'!$B$72=1,B97&gt;'Immobilien-Kalkulation'!$B$69),'Immobilien-Kalkulation'!$B$73,'Immobilien-Kalkulation'!$B$65))</f>
        <v>3.5000000000000003E-2</v>
      </c>
      <c r="D97" s="53">
        <f>IF(A97&gt;'Immobilien-Kalkulation'!$B$70*12,0,I96)</f>
        <v>264992.1246057431</v>
      </c>
      <c r="E97" s="53">
        <f>IF(OR(A97&gt;'Immobilien-Kalkulation'!$B$70*12,D97&lt;=0),0,IF(AND('Immobilien-Kalkulation'!$B$72=1,B97&gt;'Immobilien-Kalkulation'!$B$69),MIN(D97*C97/12+'Immobilien-Kalkulation'!$B$74/12,D97*(1+C97/12)),MIN('Immobilien-Kalkulation'!$B$67,D97*(1+C97/12))))</f>
        <v>1429.9603560928113</v>
      </c>
      <c r="F97" s="53">
        <f>IF(OR(A97&gt;'Immobilien-Kalkulation'!$B$70*12,D97&lt;=0),0,D97*C97/12)</f>
        <v>772.89369676675085</v>
      </c>
      <c r="G97" s="53">
        <f>IF(OR(A97&gt;'Immobilien-Kalkulation'!$B$70*12,D97&lt;=0),0,MAX(0,MIN(D97,E97-F97)))</f>
        <v>657.0666593260604</v>
      </c>
      <c r="H97" s="95">
        <v>0</v>
      </c>
      <c r="I97" s="53">
        <f>IF(A97&gt;'Immobilien-Kalkulation'!$B$70*12,0,MAX(0,D97-G97-J97))</f>
        <v>264335.05794641702</v>
      </c>
      <c r="J97" s="53">
        <f>IF(OR(A97&gt;'Immobilien-Kalkulation'!$B$70*12,D97&lt;=0),0,MIN(H97,MAX(0,D97-G97)))</f>
        <v>0</v>
      </c>
    </row>
    <row r="98" spans="1:10" x14ac:dyDescent="0.25">
      <c r="A98">
        <v>95</v>
      </c>
      <c r="B98">
        <f t="shared" si="1"/>
        <v>8</v>
      </c>
      <c r="C98" s="28">
        <f>IF(A98&gt;'Immobilien-Kalkulation'!$B$70*12,0,IF(AND('Immobilien-Kalkulation'!$B$72=1,B98&gt;'Immobilien-Kalkulation'!$B$69),'Immobilien-Kalkulation'!$B$73,'Immobilien-Kalkulation'!$B$65))</f>
        <v>3.5000000000000003E-2</v>
      </c>
      <c r="D98" s="53">
        <f>IF(A98&gt;'Immobilien-Kalkulation'!$B$70*12,0,I97)</f>
        <v>264335.05794641702</v>
      </c>
      <c r="E98" s="53">
        <f>IF(OR(A98&gt;'Immobilien-Kalkulation'!$B$70*12,D98&lt;=0),0,IF(AND('Immobilien-Kalkulation'!$B$72=1,B98&gt;'Immobilien-Kalkulation'!$B$69),MIN(D98*C98/12+'Immobilien-Kalkulation'!$B$74/12,D98*(1+C98/12)),MIN('Immobilien-Kalkulation'!$B$67,D98*(1+C98/12))))</f>
        <v>1429.9603560928113</v>
      </c>
      <c r="F98" s="53">
        <f>IF(OR(A98&gt;'Immobilien-Kalkulation'!$B$70*12,D98&lt;=0),0,D98*C98/12)</f>
        <v>770.97725234371637</v>
      </c>
      <c r="G98" s="53">
        <f>IF(OR(A98&gt;'Immobilien-Kalkulation'!$B$70*12,D98&lt;=0),0,MAX(0,MIN(D98,E98-F98)))</f>
        <v>658.98310374909488</v>
      </c>
      <c r="H98" s="95">
        <v>0</v>
      </c>
      <c r="I98" s="53">
        <f>IF(A98&gt;'Immobilien-Kalkulation'!$B$70*12,0,MAX(0,D98-G98-J98))</f>
        <v>263676.07484266791</v>
      </c>
      <c r="J98" s="53">
        <f>IF(OR(A98&gt;'Immobilien-Kalkulation'!$B$70*12,D98&lt;=0),0,MIN(H98,MAX(0,D98-G98)))</f>
        <v>0</v>
      </c>
    </row>
    <row r="99" spans="1:10" x14ac:dyDescent="0.25">
      <c r="A99">
        <v>96</v>
      </c>
      <c r="B99">
        <f t="shared" si="1"/>
        <v>8</v>
      </c>
      <c r="C99" s="28">
        <f>IF(A99&gt;'Immobilien-Kalkulation'!$B$70*12,0,IF(AND('Immobilien-Kalkulation'!$B$72=1,B99&gt;'Immobilien-Kalkulation'!$B$69),'Immobilien-Kalkulation'!$B$73,'Immobilien-Kalkulation'!$B$65))</f>
        <v>3.5000000000000003E-2</v>
      </c>
      <c r="D99" s="53">
        <f>IF(A99&gt;'Immobilien-Kalkulation'!$B$70*12,0,I98)</f>
        <v>263676.07484266791</v>
      </c>
      <c r="E99" s="53">
        <f>IF(OR(A99&gt;'Immobilien-Kalkulation'!$B$70*12,D99&lt;=0),0,IF(AND('Immobilien-Kalkulation'!$B$72=1,B99&gt;'Immobilien-Kalkulation'!$B$69),MIN(D99*C99/12+'Immobilien-Kalkulation'!$B$74/12,D99*(1+C99/12)),MIN('Immobilien-Kalkulation'!$B$67,D99*(1+C99/12))))</f>
        <v>1429.9603560928113</v>
      </c>
      <c r="F99" s="53">
        <f>IF(OR(A99&gt;'Immobilien-Kalkulation'!$B$70*12,D99&lt;=0),0,D99*C99/12)</f>
        <v>769.05521829111478</v>
      </c>
      <c r="G99" s="53">
        <f>IF(OR(A99&gt;'Immobilien-Kalkulation'!$B$70*12,D99&lt;=0),0,MAX(0,MIN(D99,E99-F99)))</f>
        <v>660.90513780169647</v>
      </c>
      <c r="H99" s="95">
        <v>0</v>
      </c>
      <c r="I99" s="53">
        <f>IF(A99&gt;'Immobilien-Kalkulation'!$B$70*12,0,MAX(0,D99-G99-J99))</f>
        <v>263015.16970486619</v>
      </c>
      <c r="J99" s="53">
        <f>IF(OR(A99&gt;'Immobilien-Kalkulation'!$B$70*12,D99&lt;=0),0,MIN(H99,MAX(0,D99-G99)))</f>
        <v>0</v>
      </c>
    </row>
    <row r="100" spans="1:10" x14ac:dyDescent="0.25">
      <c r="A100">
        <v>97</v>
      </c>
      <c r="B100">
        <f t="shared" si="1"/>
        <v>9</v>
      </c>
      <c r="C100" s="28">
        <f>IF(A100&gt;'Immobilien-Kalkulation'!$B$70*12,0,IF(AND('Immobilien-Kalkulation'!$B$72=1,B100&gt;'Immobilien-Kalkulation'!$B$69),'Immobilien-Kalkulation'!$B$73,'Immobilien-Kalkulation'!$B$65))</f>
        <v>3.5000000000000003E-2</v>
      </c>
      <c r="D100" s="53">
        <f>IF(A100&gt;'Immobilien-Kalkulation'!$B$70*12,0,I99)</f>
        <v>263015.16970486619</v>
      </c>
      <c r="E100" s="53">
        <f>IF(OR(A100&gt;'Immobilien-Kalkulation'!$B$70*12,D100&lt;=0),0,IF(AND('Immobilien-Kalkulation'!$B$72=1,B100&gt;'Immobilien-Kalkulation'!$B$69),MIN(D100*C100/12+'Immobilien-Kalkulation'!$B$74/12,D100*(1+C100/12)),MIN('Immobilien-Kalkulation'!$B$67,D100*(1+C100/12))))</f>
        <v>1429.9603560928113</v>
      </c>
      <c r="F100" s="53">
        <f>IF(OR(A100&gt;'Immobilien-Kalkulation'!$B$70*12,D100&lt;=0),0,D100*C100/12)</f>
        <v>767.12757830585986</v>
      </c>
      <c r="G100" s="53">
        <f>IF(OR(A100&gt;'Immobilien-Kalkulation'!$B$70*12,D100&lt;=0),0,MAX(0,MIN(D100,E100-F100)))</f>
        <v>662.8327777869514</v>
      </c>
      <c r="H100" s="95">
        <v>0</v>
      </c>
      <c r="I100" s="53">
        <f>IF(A100&gt;'Immobilien-Kalkulation'!$B$70*12,0,MAX(0,D100-G100-J100))</f>
        <v>262352.33692707925</v>
      </c>
      <c r="J100" s="53">
        <f>IF(OR(A100&gt;'Immobilien-Kalkulation'!$B$70*12,D100&lt;=0),0,MIN(H100,MAX(0,D100-G100)))</f>
        <v>0</v>
      </c>
    </row>
    <row r="101" spans="1:10" x14ac:dyDescent="0.25">
      <c r="A101">
        <v>98</v>
      </c>
      <c r="B101">
        <f t="shared" si="1"/>
        <v>9</v>
      </c>
      <c r="C101" s="28">
        <f>IF(A101&gt;'Immobilien-Kalkulation'!$B$70*12,0,IF(AND('Immobilien-Kalkulation'!$B$72=1,B101&gt;'Immobilien-Kalkulation'!$B$69),'Immobilien-Kalkulation'!$B$73,'Immobilien-Kalkulation'!$B$65))</f>
        <v>3.5000000000000003E-2</v>
      </c>
      <c r="D101" s="53">
        <f>IF(A101&gt;'Immobilien-Kalkulation'!$B$70*12,0,I100)</f>
        <v>262352.33692707925</v>
      </c>
      <c r="E101" s="53">
        <f>IF(OR(A101&gt;'Immobilien-Kalkulation'!$B$70*12,D101&lt;=0),0,IF(AND('Immobilien-Kalkulation'!$B$72=1,B101&gt;'Immobilien-Kalkulation'!$B$69),MIN(D101*C101/12+'Immobilien-Kalkulation'!$B$74/12,D101*(1+C101/12)),MIN('Immobilien-Kalkulation'!$B$67,D101*(1+C101/12))))</f>
        <v>1429.9603560928113</v>
      </c>
      <c r="F101" s="53">
        <f>IF(OR(A101&gt;'Immobilien-Kalkulation'!$B$70*12,D101&lt;=0),0,D101*C101/12)</f>
        <v>765.19431603731448</v>
      </c>
      <c r="G101" s="53">
        <f>IF(OR(A101&gt;'Immobilien-Kalkulation'!$B$70*12,D101&lt;=0),0,MAX(0,MIN(D101,E101-F101)))</f>
        <v>664.76604005549677</v>
      </c>
      <c r="H101" s="95">
        <v>0</v>
      </c>
      <c r="I101" s="53">
        <f>IF(A101&gt;'Immobilien-Kalkulation'!$B$70*12,0,MAX(0,D101-G101-J101))</f>
        <v>261687.57088702376</v>
      </c>
      <c r="J101" s="53">
        <f>IF(OR(A101&gt;'Immobilien-Kalkulation'!$B$70*12,D101&lt;=0),0,MIN(H101,MAX(0,D101-G101)))</f>
        <v>0</v>
      </c>
    </row>
    <row r="102" spans="1:10" x14ac:dyDescent="0.25">
      <c r="A102">
        <v>99</v>
      </c>
      <c r="B102">
        <f t="shared" si="1"/>
        <v>9</v>
      </c>
      <c r="C102" s="28">
        <f>IF(A102&gt;'Immobilien-Kalkulation'!$B$70*12,0,IF(AND('Immobilien-Kalkulation'!$B$72=1,B102&gt;'Immobilien-Kalkulation'!$B$69),'Immobilien-Kalkulation'!$B$73,'Immobilien-Kalkulation'!$B$65))</f>
        <v>3.5000000000000003E-2</v>
      </c>
      <c r="D102" s="53">
        <f>IF(A102&gt;'Immobilien-Kalkulation'!$B$70*12,0,I101)</f>
        <v>261687.57088702376</v>
      </c>
      <c r="E102" s="53">
        <f>IF(OR(A102&gt;'Immobilien-Kalkulation'!$B$70*12,D102&lt;=0),0,IF(AND('Immobilien-Kalkulation'!$B$72=1,B102&gt;'Immobilien-Kalkulation'!$B$69),MIN(D102*C102/12+'Immobilien-Kalkulation'!$B$74/12,D102*(1+C102/12)),MIN('Immobilien-Kalkulation'!$B$67,D102*(1+C102/12))))</f>
        <v>1429.9603560928113</v>
      </c>
      <c r="F102" s="53">
        <f>IF(OR(A102&gt;'Immobilien-Kalkulation'!$B$70*12,D102&lt;=0),0,D102*C102/12)</f>
        <v>763.25541508715276</v>
      </c>
      <c r="G102" s="53">
        <f>IF(OR(A102&gt;'Immobilien-Kalkulation'!$B$70*12,D102&lt;=0),0,MAX(0,MIN(D102,E102-F102)))</f>
        <v>666.7049410056585</v>
      </c>
      <c r="H102" s="95">
        <v>0</v>
      </c>
      <c r="I102" s="53">
        <f>IF(A102&gt;'Immobilien-Kalkulation'!$B$70*12,0,MAX(0,D102-G102-J102))</f>
        <v>261020.86594601811</v>
      </c>
      <c r="J102" s="53">
        <f>IF(OR(A102&gt;'Immobilien-Kalkulation'!$B$70*12,D102&lt;=0),0,MIN(H102,MAX(0,D102-G102)))</f>
        <v>0</v>
      </c>
    </row>
    <row r="103" spans="1:10" x14ac:dyDescent="0.25">
      <c r="A103">
        <v>100</v>
      </c>
      <c r="B103">
        <f t="shared" si="1"/>
        <v>9</v>
      </c>
      <c r="C103" s="28">
        <f>IF(A103&gt;'Immobilien-Kalkulation'!$B$70*12,0,IF(AND('Immobilien-Kalkulation'!$B$72=1,B103&gt;'Immobilien-Kalkulation'!$B$69),'Immobilien-Kalkulation'!$B$73,'Immobilien-Kalkulation'!$B$65))</f>
        <v>3.5000000000000003E-2</v>
      </c>
      <c r="D103" s="53">
        <f>IF(A103&gt;'Immobilien-Kalkulation'!$B$70*12,0,I102)</f>
        <v>261020.86594601811</v>
      </c>
      <c r="E103" s="53">
        <f>IF(OR(A103&gt;'Immobilien-Kalkulation'!$B$70*12,D103&lt;=0),0,IF(AND('Immobilien-Kalkulation'!$B$72=1,B103&gt;'Immobilien-Kalkulation'!$B$69),MIN(D103*C103/12+'Immobilien-Kalkulation'!$B$74/12,D103*(1+C103/12)),MIN('Immobilien-Kalkulation'!$B$67,D103*(1+C103/12))))</f>
        <v>1429.9603560928113</v>
      </c>
      <c r="F103" s="53">
        <f>IF(OR(A103&gt;'Immobilien-Kalkulation'!$B$70*12,D103&lt;=0),0,D103*C103/12)</f>
        <v>761.3108590092196</v>
      </c>
      <c r="G103" s="53">
        <f>IF(OR(A103&gt;'Immobilien-Kalkulation'!$B$70*12,D103&lt;=0),0,MAX(0,MIN(D103,E103-F103)))</f>
        <v>668.64949708359165</v>
      </c>
      <c r="H103" s="95">
        <v>0</v>
      </c>
      <c r="I103" s="53">
        <f>IF(A103&gt;'Immobilien-Kalkulation'!$B$70*12,0,MAX(0,D103-G103-J103))</f>
        <v>260352.21644893452</v>
      </c>
      <c r="J103" s="53">
        <f>IF(OR(A103&gt;'Immobilien-Kalkulation'!$B$70*12,D103&lt;=0),0,MIN(H103,MAX(0,D103-G103)))</f>
        <v>0</v>
      </c>
    </row>
    <row r="104" spans="1:10" x14ac:dyDescent="0.25">
      <c r="A104">
        <v>101</v>
      </c>
      <c r="B104">
        <f t="shared" si="1"/>
        <v>9</v>
      </c>
      <c r="C104" s="28">
        <f>IF(A104&gt;'Immobilien-Kalkulation'!$B$70*12,0,IF(AND('Immobilien-Kalkulation'!$B$72=1,B104&gt;'Immobilien-Kalkulation'!$B$69),'Immobilien-Kalkulation'!$B$73,'Immobilien-Kalkulation'!$B$65))</f>
        <v>3.5000000000000003E-2</v>
      </c>
      <c r="D104" s="53">
        <f>IF(A104&gt;'Immobilien-Kalkulation'!$B$70*12,0,I103)</f>
        <v>260352.21644893452</v>
      </c>
      <c r="E104" s="53">
        <f>IF(OR(A104&gt;'Immobilien-Kalkulation'!$B$70*12,D104&lt;=0),0,IF(AND('Immobilien-Kalkulation'!$B$72=1,B104&gt;'Immobilien-Kalkulation'!$B$69),MIN(D104*C104/12+'Immobilien-Kalkulation'!$B$74/12,D104*(1+C104/12)),MIN('Immobilien-Kalkulation'!$B$67,D104*(1+C104/12))))</f>
        <v>1429.9603560928113</v>
      </c>
      <c r="F104" s="53">
        <f>IF(OR(A104&gt;'Immobilien-Kalkulation'!$B$70*12,D104&lt;=0),0,D104*C104/12)</f>
        <v>759.36063130939237</v>
      </c>
      <c r="G104" s="53">
        <f>IF(OR(A104&gt;'Immobilien-Kalkulation'!$B$70*12,D104&lt;=0),0,MAX(0,MIN(D104,E104-F104)))</f>
        <v>670.59972478341888</v>
      </c>
      <c r="H104" s="95">
        <v>0</v>
      </c>
      <c r="I104" s="53">
        <f>IF(A104&gt;'Immobilien-Kalkulation'!$B$70*12,0,MAX(0,D104-G104-J104))</f>
        <v>259681.6167241511</v>
      </c>
      <c r="J104" s="53">
        <f>IF(OR(A104&gt;'Immobilien-Kalkulation'!$B$70*12,D104&lt;=0),0,MIN(H104,MAX(0,D104-G104)))</f>
        <v>0</v>
      </c>
    </row>
    <row r="105" spans="1:10" x14ac:dyDescent="0.25">
      <c r="A105">
        <v>102</v>
      </c>
      <c r="B105">
        <f t="shared" si="1"/>
        <v>9</v>
      </c>
      <c r="C105" s="28">
        <f>IF(A105&gt;'Immobilien-Kalkulation'!$B$70*12,0,IF(AND('Immobilien-Kalkulation'!$B$72=1,B105&gt;'Immobilien-Kalkulation'!$B$69),'Immobilien-Kalkulation'!$B$73,'Immobilien-Kalkulation'!$B$65))</f>
        <v>3.5000000000000003E-2</v>
      </c>
      <c r="D105" s="53">
        <f>IF(A105&gt;'Immobilien-Kalkulation'!$B$70*12,0,I104)</f>
        <v>259681.6167241511</v>
      </c>
      <c r="E105" s="53">
        <f>IF(OR(A105&gt;'Immobilien-Kalkulation'!$B$70*12,D105&lt;=0),0,IF(AND('Immobilien-Kalkulation'!$B$72=1,B105&gt;'Immobilien-Kalkulation'!$B$69),MIN(D105*C105/12+'Immobilien-Kalkulation'!$B$74/12,D105*(1+C105/12)),MIN('Immobilien-Kalkulation'!$B$67,D105*(1+C105/12))))</f>
        <v>1429.9603560928113</v>
      </c>
      <c r="F105" s="53">
        <f>IF(OR(A105&gt;'Immobilien-Kalkulation'!$B$70*12,D105&lt;=0),0,D105*C105/12)</f>
        <v>757.40471544544073</v>
      </c>
      <c r="G105" s="53">
        <f>IF(OR(A105&gt;'Immobilien-Kalkulation'!$B$70*12,D105&lt;=0),0,MAX(0,MIN(D105,E105-F105)))</f>
        <v>672.55564064737052</v>
      </c>
      <c r="H105" s="95">
        <v>0</v>
      </c>
      <c r="I105" s="53">
        <f>IF(A105&gt;'Immobilien-Kalkulation'!$B$70*12,0,MAX(0,D105-G105-J105))</f>
        <v>259009.06108350374</v>
      </c>
      <c r="J105" s="53">
        <f>IF(OR(A105&gt;'Immobilien-Kalkulation'!$B$70*12,D105&lt;=0),0,MIN(H105,MAX(0,D105-G105)))</f>
        <v>0</v>
      </c>
    </row>
    <row r="106" spans="1:10" x14ac:dyDescent="0.25">
      <c r="A106">
        <v>103</v>
      </c>
      <c r="B106">
        <f t="shared" si="1"/>
        <v>9</v>
      </c>
      <c r="C106" s="28">
        <f>IF(A106&gt;'Immobilien-Kalkulation'!$B$70*12,0,IF(AND('Immobilien-Kalkulation'!$B$72=1,B106&gt;'Immobilien-Kalkulation'!$B$69),'Immobilien-Kalkulation'!$B$73,'Immobilien-Kalkulation'!$B$65))</f>
        <v>3.5000000000000003E-2</v>
      </c>
      <c r="D106" s="53">
        <f>IF(A106&gt;'Immobilien-Kalkulation'!$B$70*12,0,I105)</f>
        <v>259009.06108350374</v>
      </c>
      <c r="E106" s="53">
        <f>IF(OR(A106&gt;'Immobilien-Kalkulation'!$B$70*12,D106&lt;=0),0,IF(AND('Immobilien-Kalkulation'!$B$72=1,B106&gt;'Immobilien-Kalkulation'!$B$69),MIN(D106*C106/12+'Immobilien-Kalkulation'!$B$74/12,D106*(1+C106/12)),MIN('Immobilien-Kalkulation'!$B$67,D106*(1+C106/12))))</f>
        <v>1429.9603560928113</v>
      </c>
      <c r="F106" s="53">
        <f>IF(OR(A106&gt;'Immobilien-Kalkulation'!$B$70*12,D106&lt;=0),0,D106*C106/12)</f>
        <v>755.44309482688595</v>
      </c>
      <c r="G106" s="53">
        <f>IF(OR(A106&gt;'Immobilien-Kalkulation'!$B$70*12,D106&lt;=0),0,MAX(0,MIN(D106,E106-F106)))</f>
        <v>674.5172612659253</v>
      </c>
      <c r="H106" s="95">
        <v>0</v>
      </c>
      <c r="I106" s="53">
        <f>IF(A106&gt;'Immobilien-Kalkulation'!$B$70*12,0,MAX(0,D106-G106-J106))</f>
        <v>258334.54382223781</v>
      </c>
      <c r="J106" s="53">
        <f>IF(OR(A106&gt;'Immobilien-Kalkulation'!$B$70*12,D106&lt;=0),0,MIN(H106,MAX(0,D106-G106)))</f>
        <v>0</v>
      </c>
    </row>
    <row r="107" spans="1:10" x14ac:dyDescent="0.25">
      <c r="A107">
        <v>104</v>
      </c>
      <c r="B107">
        <f t="shared" si="1"/>
        <v>9</v>
      </c>
      <c r="C107" s="28">
        <f>IF(A107&gt;'Immobilien-Kalkulation'!$B$70*12,0,IF(AND('Immobilien-Kalkulation'!$B$72=1,B107&gt;'Immobilien-Kalkulation'!$B$69),'Immobilien-Kalkulation'!$B$73,'Immobilien-Kalkulation'!$B$65))</f>
        <v>3.5000000000000003E-2</v>
      </c>
      <c r="D107" s="53">
        <f>IF(A107&gt;'Immobilien-Kalkulation'!$B$70*12,0,I106)</f>
        <v>258334.54382223781</v>
      </c>
      <c r="E107" s="53">
        <f>IF(OR(A107&gt;'Immobilien-Kalkulation'!$B$70*12,D107&lt;=0),0,IF(AND('Immobilien-Kalkulation'!$B$72=1,B107&gt;'Immobilien-Kalkulation'!$B$69),MIN(D107*C107/12+'Immobilien-Kalkulation'!$B$74/12,D107*(1+C107/12)),MIN('Immobilien-Kalkulation'!$B$67,D107*(1+C107/12))))</f>
        <v>1429.9603560928113</v>
      </c>
      <c r="F107" s="53">
        <f>IF(OR(A107&gt;'Immobilien-Kalkulation'!$B$70*12,D107&lt;=0),0,D107*C107/12)</f>
        <v>753.47575281486036</v>
      </c>
      <c r="G107" s="53">
        <f>IF(OR(A107&gt;'Immobilien-Kalkulation'!$B$70*12,D107&lt;=0),0,MAX(0,MIN(D107,E107-F107)))</f>
        <v>676.4846032779509</v>
      </c>
      <c r="H107" s="95">
        <v>0</v>
      </c>
      <c r="I107" s="53">
        <f>IF(A107&gt;'Immobilien-Kalkulation'!$B$70*12,0,MAX(0,D107-G107-J107))</f>
        <v>257658.05921895985</v>
      </c>
      <c r="J107" s="53">
        <f>IF(OR(A107&gt;'Immobilien-Kalkulation'!$B$70*12,D107&lt;=0),0,MIN(H107,MAX(0,D107-G107)))</f>
        <v>0</v>
      </c>
    </row>
    <row r="108" spans="1:10" x14ac:dyDescent="0.25">
      <c r="A108">
        <v>105</v>
      </c>
      <c r="B108">
        <f t="shared" si="1"/>
        <v>9</v>
      </c>
      <c r="C108" s="28">
        <f>IF(A108&gt;'Immobilien-Kalkulation'!$B$70*12,0,IF(AND('Immobilien-Kalkulation'!$B$72=1,B108&gt;'Immobilien-Kalkulation'!$B$69),'Immobilien-Kalkulation'!$B$73,'Immobilien-Kalkulation'!$B$65))</f>
        <v>3.5000000000000003E-2</v>
      </c>
      <c r="D108" s="53">
        <f>IF(A108&gt;'Immobilien-Kalkulation'!$B$70*12,0,I107)</f>
        <v>257658.05921895985</v>
      </c>
      <c r="E108" s="53">
        <f>IF(OR(A108&gt;'Immobilien-Kalkulation'!$B$70*12,D108&lt;=0),0,IF(AND('Immobilien-Kalkulation'!$B$72=1,B108&gt;'Immobilien-Kalkulation'!$B$69),MIN(D108*C108/12+'Immobilien-Kalkulation'!$B$74/12,D108*(1+C108/12)),MIN('Immobilien-Kalkulation'!$B$67,D108*(1+C108/12))))</f>
        <v>1429.9603560928113</v>
      </c>
      <c r="F108" s="53">
        <f>IF(OR(A108&gt;'Immobilien-Kalkulation'!$B$70*12,D108&lt;=0),0,D108*C108/12)</f>
        <v>751.50267272196641</v>
      </c>
      <c r="G108" s="53">
        <f>IF(OR(A108&gt;'Immobilien-Kalkulation'!$B$70*12,D108&lt;=0),0,MAX(0,MIN(D108,E108-F108)))</f>
        <v>678.45768337084485</v>
      </c>
      <c r="H108" s="95">
        <v>0</v>
      </c>
      <c r="I108" s="53">
        <f>IF(A108&gt;'Immobilien-Kalkulation'!$B$70*12,0,MAX(0,D108-G108-J108))</f>
        <v>256979.601535589</v>
      </c>
      <c r="J108" s="53">
        <f>IF(OR(A108&gt;'Immobilien-Kalkulation'!$B$70*12,D108&lt;=0),0,MIN(H108,MAX(0,D108-G108)))</f>
        <v>0</v>
      </c>
    </row>
    <row r="109" spans="1:10" x14ac:dyDescent="0.25">
      <c r="A109">
        <v>106</v>
      </c>
      <c r="B109">
        <f t="shared" si="1"/>
        <v>9</v>
      </c>
      <c r="C109" s="28">
        <f>IF(A109&gt;'Immobilien-Kalkulation'!$B$70*12,0,IF(AND('Immobilien-Kalkulation'!$B$72=1,B109&gt;'Immobilien-Kalkulation'!$B$69),'Immobilien-Kalkulation'!$B$73,'Immobilien-Kalkulation'!$B$65))</f>
        <v>3.5000000000000003E-2</v>
      </c>
      <c r="D109" s="53">
        <f>IF(A109&gt;'Immobilien-Kalkulation'!$B$70*12,0,I108)</f>
        <v>256979.601535589</v>
      </c>
      <c r="E109" s="53">
        <f>IF(OR(A109&gt;'Immobilien-Kalkulation'!$B$70*12,D109&lt;=0),0,IF(AND('Immobilien-Kalkulation'!$B$72=1,B109&gt;'Immobilien-Kalkulation'!$B$69),MIN(D109*C109/12+'Immobilien-Kalkulation'!$B$74/12,D109*(1+C109/12)),MIN('Immobilien-Kalkulation'!$B$67,D109*(1+C109/12))))</f>
        <v>1429.9603560928113</v>
      </c>
      <c r="F109" s="53">
        <f>IF(OR(A109&gt;'Immobilien-Kalkulation'!$B$70*12,D109&lt;=0),0,D109*C109/12)</f>
        <v>749.52383781213473</v>
      </c>
      <c r="G109" s="53">
        <f>IF(OR(A109&gt;'Immobilien-Kalkulation'!$B$70*12,D109&lt;=0),0,MAX(0,MIN(D109,E109-F109)))</f>
        <v>680.43651828067652</v>
      </c>
      <c r="H109" s="95">
        <v>0</v>
      </c>
      <c r="I109" s="53">
        <f>IF(A109&gt;'Immobilien-Kalkulation'!$B$70*12,0,MAX(0,D109-G109-J109))</f>
        <v>256299.16501730832</v>
      </c>
      <c r="J109" s="53">
        <f>IF(OR(A109&gt;'Immobilien-Kalkulation'!$B$70*12,D109&lt;=0),0,MIN(H109,MAX(0,D109-G109)))</f>
        <v>0</v>
      </c>
    </row>
    <row r="110" spans="1:10" x14ac:dyDescent="0.25">
      <c r="A110">
        <v>107</v>
      </c>
      <c r="B110">
        <f t="shared" si="1"/>
        <v>9</v>
      </c>
      <c r="C110" s="28">
        <f>IF(A110&gt;'Immobilien-Kalkulation'!$B$70*12,0,IF(AND('Immobilien-Kalkulation'!$B$72=1,B110&gt;'Immobilien-Kalkulation'!$B$69),'Immobilien-Kalkulation'!$B$73,'Immobilien-Kalkulation'!$B$65))</f>
        <v>3.5000000000000003E-2</v>
      </c>
      <c r="D110" s="53">
        <f>IF(A110&gt;'Immobilien-Kalkulation'!$B$70*12,0,I109)</f>
        <v>256299.16501730832</v>
      </c>
      <c r="E110" s="53">
        <f>IF(OR(A110&gt;'Immobilien-Kalkulation'!$B$70*12,D110&lt;=0),0,IF(AND('Immobilien-Kalkulation'!$B$72=1,B110&gt;'Immobilien-Kalkulation'!$B$69),MIN(D110*C110/12+'Immobilien-Kalkulation'!$B$74/12,D110*(1+C110/12)),MIN('Immobilien-Kalkulation'!$B$67,D110*(1+C110/12))))</f>
        <v>1429.9603560928113</v>
      </c>
      <c r="F110" s="53">
        <f>IF(OR(A110&gt;'Immobilien-Kalkulation'!$B$70*12,D110&lt;=0),0,D110*C110/12)</f>
        <v>747.5392313004827</v>
      </c>
      <c r="G110" s="53">
        <f>IF(OR(A110&gt;'Immobilien-Kalkulation'!$B$70*12,D110&lt;=0),0,MAX(0,MIN(D110,E110-F110)))</f>
        <v>682.42112479232856</v>
      </c>
      <c r="H110" s="95">
        <v>0</v>
      </c>
      <c r="I110" s="53">
        <f>IF(A110&gt;'Immobilien-Kalkulation'!$B$70*12,0,MAX(0,D110-G110-J110))</f>
        <v>255616.74389251598</v>
      </c>
      <c r="J110" s="53">
        <f>IF(OR(A110&gt;'Immobilien-Kalkulation'!$B$70*12,D110&lt;=0),0,MIN(H110,MAX(0,D110-G110)))</f>
        <v>0</v>
      </c>
    </row>
    <row r="111" spans="1:10" x14ac:dyDescent="0.25">
      <c r="A111">
        <v>108</v>
      </c>
      <c r="B111">
        <f t="shared" si="1"/>
        <v>9</v>
      </c>
      <c r="C111" s="28">
        <f>IF(A111&gt;'Immobilien-Kalkulation'!$B$70*12,0,IF(AND('Immobilien-Kalkulation'!$B$72=1,B111&gt;'Immobilien-Kalkulation'!$B$69),'Immobilien-Kalkulation'!$B$73,'Immobilien-Kalkulation'!$B$65))</f>
        <v>3.5000000000000003E-2</v>
      </c>
      <c r="D111" s="53">
        <f>IF(A111&gt;'Immobilien-Kalkulation'!$B$70*12,0,I110)</f>
        <v>255616.74389251598</v>
      </c>
      <c r="E111" s="53">
        <f>IF(OR(A111&gt;'Immobilien-Kalkulation'!$B$70*12,D111&lt;=0),0,IF(AND('Immobilien-Kalkulation'!$B$72=1,B111&gt;'Immobilien-Kalkulation'!$B$69),MIN(D111*C111/12+'Immobilien-Kalkulation'!$B$74/12,D111*(1+C111/12)),MIN('Immobilien-Kalkulation'!$B$67,D111*(1+C111/12))))</f>
        <v>1429.9603560928113</v>
      </c>
      <c r="F111" s="53">
        <f>IF(OR(A111&gt;'Immobilien-Kalkulation'!$B$70*12,D111&lt;=0),0,D111*C111/12)</f>
        <v>745.54883635317174</v>
      </c>
      <c r="G111" s="53">
        <f>IF(OR(A111&gt;'Immobilien-Kalkulation'!$B$70*12,D111&lt;=0),0,MAX(0,MIN(D111,E111-F111)))</f>
        <v>684.41151973963952</v>
      </c>
      <c r="H111" s="95">
        <v>0</v>
      </c>
      <c r="I111" s="53">
        <f>IF(A111&gt;'Immobilien-Kalkulation'!$B$70*12,0,MAX(0,D111-G111-J111))</f>
        <v>254932.33237277635</v>
      </c>
      <c r="J111" s="53">
        <f>IF(OR(A111&gt;'Immobilien-Kalkulation'!$B$70*12,D111&lt;=0),0,MIN(H111,MAX(0,D111-G111)))</f>
        <v>0</v>
      </c>
    </row>
    <row r="112" spans="1:10" x14ac:dyDescent="0.25">
      <c r="A112">
        <v>109</v>
      </c>
      <c r="B112">
        <f t="shared" si="1"/>
        <v>10</v>
      </c>
      <c r="C112" s="28">
        <f>IF(A112&gt;'Immobilien-Kalkulation'!$B$70*12,0,IF(AND('Immobilien-Kalkulation'!$B$72=1,B112&gt;'Immobilien-Kalkulation'!$B$69),'Immobilien-Kalkulation'!$B$73,'Immobilien-Kalkulation'!$B$65))</f>
        <v>3.5000000000000003E-2</v>
      </c>
      <c r="D112" s="53">
        <f>IF(A112&gt;'Immobilien-Kalkulation'!$B$70*12,0,I111)</f>
        <v>254932.33237277635</v>
      </c>
      <c r="E112" s="53">
        <f>IF(OR(A112&gt;'Immobilien-Kalkulation'!$B$70*12,D112&lt;=0),0,IF(AND('Immobilien-Kalkulation'!$B$72=1,B112&gt;'Immobilien-Kalkulation'!$B$69),MIN(D112*C112/12+'Immobilien-Kalkulation'!$B$74/12,D112*(1+C112/12)),MIN('Immobilien-Kalkulation'!$B$67,D112*(1+C112/12))))</f>
        <v>1429.9603560928113</v>
      </c>
      <c r="F112" s="53">
        <f>IF(OR(A112&gt;'Immobilien-Kalkulation'!$B$70*12,D112&lt;=0),0,D112*C112/12)</f>
        <v>743.55263608726443</v>
      </c>
      <c r="G112" s="53">
        <f>IF(OR(A112&gt;'Immobilien-Kalkulation'!$B$70*12,D112&lt;=0),0,MAX(0,MIN(D112,E112-F112)))</f>
        <v>686.40772000554682</v>
      </c>
      <c r="H112" s="95">
        <v>0</v>
      </c>
      <c r="I112" s="53">
        <f>IF(A112&gt;'Immobilien-Kalkulation'!$B$70*12,0,MAX(0,D112-G112-J112))</f>
        <v>254245.9246527708</v>
      </c>
      <c r="J112" s="53">
        <f>IF(OR(A112&gt;'Immobilien-Kalkulation'!$B$70*12,D112&lt;=0),0,MIN(H112,MAX(0,D112-G112)))</f>
        <v>0</v>
      </c>
    </row>
    <row r="113" spans="1:10" x14ac:dyDescent="0.25">
      <c r="A113">
        <v>110</v>
      </c>
      <c r="B113">
        <f t="shared" si="1"/>
        <v>10</v>
      </c>
      <c r="C113" s="28">
        <f>IF(A113&gt;'Immobilien-Kalkulation'!$B$70*12,0,IF(AND('Immobilien-Kalkulation'!$B$72=1,B113&gt;'Immobilien-Kalkulation'!$B$69),'Immobilien-Kalkulation'!$B$73,'Immobilien-Kalkulation'!$B$65))</f>
        <v>3.5000000000000003E-2</v>
      </c>
      <c r="D113" s="53">
        <f>IF(A113&gt;'Immobilien-Kalkulation'!$B$70*12,0,I112)</f>
        <v>254245.9246527708</v>
      </c>
      <c r="E113" s="53">
        <f>IF(OR(A113&gt;'Immobilien-Kalkulation'!$B$70*12,D113&lt;=0),0,IF(AND('Immobilien-Kalkulation'!$B$72=1,B113&gt;'Immobilien-Kalkulation'!$B$69),MIN(D113*C113/12+'Immobilien-Kalkulation'!$B$74/12,D113*(1+C113/12)),MIN('Immobilien-Kalkulation'!$B$67,D113*(1+C113/12))))</f>
        <v>1429.9603560928113</v>
      </c>
      <c r="F113" s="53">
        <f>IF(OR(A113&gt;'Immobilien-Kalkulation'!$B$70*12,D113&lt;=0),0,D113*C113/12)</f>
        <v>741.5506135705815</v>
      </c>
      <c r="G113" s="53">
        <f>IF(OR(A113&gt;'Immobilien-Kalkulation'!$B$70*12,D113&lt;=0),0,MAX(0,MIN(D113,E113-F113)))</f>
        <v>688.40974252222975</v>
      </c>
      <c r="H113" s="95">
        <v>0</v>
      </c>
      <c r="I113" s="53">
        <f>IF(A113&gt;'Immobilien-Kalkulation'!$B$70*12,0,MAX(0,D113-G113-J113))</f>
        <v>253557.51491024857</v>
      </c>
      <c r="J113" s="53">
        <f>IF(OR(A113&gt;'Immobilien-Kalkulation'!$B$70*12,D113&lt;=0),0,MIN(H113,MAX(0,D113-G113)))</f>
        <v>0</v>
      </c>
    </row>
    <row r="114" spans="1:10" x14ac:dyDescent="0.25">
      <c r="A114">
        <v>111</v>
      </c>
      <c r="B114">
        <f t="shared" si="1"/>
        <v>10</v>
      </c>
      <c r="C114" s="28">
        <f>IF(A114&gt;'Immobilien-Kalkulation'!$B$70*12,0,IF(AND('Immobilien-Kalkulation'!$B$72=1,B114&gt;'Immobilien-Kalkulation'!$B$69),'Immobilien-Kalkulation'!$B$73,'Immobilien-Kalkulation'!$B$65))</f>
        <v>3.5000000000000003E-2</v>
      </c>
      <c r="D114" s="53">
        <f>IF(A114&gt;'Immobilien-Kalkulation'!$B$70*12,0,I113)</f>
        <v>253557.51491024857</v>
      </c>
      <c r="E114" s="53">
        <f>IF(OR(A114&gt;'Immobilien-Kalkulation'!$B$70*12,D114&lt;=0),0,IF(AND('Immobilien-Kalkulation'!$B$72=1,B114&gt;'Immobilien-Kalkulation'!$B$69),MIN(D114*C114/12+'Immobilien-Kalkulation'!$B$74/12,D114*(1+C114/12)),MIN('Immobilien-Kalkulation'!$B$67,D114*(1+C114/12))))</f>
        <v>1429.9603560928113</v>
      </c>
      <c r="F114" s="53">
        <f>IF(OR(A114&gt;'Immobilien-Kalkulation'!$B$70*12,D114&lt;=0),0,D114*C114/12)</f>
        <v>739.54275182155834</v>
      </c>
      <c r="G114" s="53">
        <f>IF(OR(A114&gt;'Immobilien-Kalkulation'!$B$70*12,D114&lt;=0),0,MAX(0,MIN(D114,E114-F114)))</f>
        <v>690.41760427125291</v>
      </c>
      <c r="H114" s="95">
        <v>0</v>
      </c>
      <c r="I114" s="53">
        <f>IF(A114&gt;'Immobilien-Kalkulation'!$B$70*12,0,MAX(0,D114-G114-J114))</f>
        <v>252867.09730597731</v>
      </c>
      <c r="J114" s="53">
        <f>IF(OR(A114&gt;'Immobilien-Kalkulation'!$B$70*12,D114&lt;=0),0,MIN(H114,MAX(0,D114-G114)))</f>
        <v>0</v>
      </c>
    </row>
    <row r="115" spans="1:10" x14ac:dyDescent="0.25">
      <c r="A115">
        <v>112</v>
      </c>
      <c r="B115">
        <f t="shared" si="1"/>
        <v>10</v>
      </c>
      <c r="C115" s="28">
        <f>IF(A115&gt;'Immobilien-Kalkulation'!$B$70*12,0,IF(AND('Immobilien-Kalkulation'!$B$72=1,B115&gt;'Immobilien-Kalkulation'!$B$69),'Immobilien-Kalkulation'!$B$73,'Immobilien-Kalkulation'!$B$65))</f>
        <v>3.5000000000000003E-2</v>
      </c>
      <c r="D115" s="53">
        <f>IF(A115&gt;'Immobilien-Kalkulation'!$B$70*12,0,I114)</f>
        <v>252867.09730597731</v>
      </c>
      <c r="E115" s="53">
        <f>IF(OR(A115&gt;'Immobilien-Kalkulation'!$B$70*12,D115&lt;=0),0,IF(AND('Immobilien-Kalkulation'!$B$72=1,B115&gt;'Immobilien-Kalkulation'!$B$69),MIN(D115*C115/12+'Immobilien-Kalkulation'!$B$74/12,D115*(1+C115/12)),MIN('Immobilien-Kalkulation'!$B$67,D115*(1+C115/12))))</f>
        <v>1429.9603560928113</v>
      </c>
      <c r="F115" s="53">
        <f>IF(OR(A115&gt;'Immobilien-Kalkulation'!$B$70*12,D115&lt;=0),0,D115*C115/12)</f>
        <v>737.5290338091005</v>
      </c>
      <c r="G115" s="53">
        <f>IF(OR(A115&gt;'Immobilien-Kalkulation'!$B$70*12,D115&lt;=0),0,MAX(0,MIN(D115,E115-F115)))</f>
        <v>692.43132228371076</v>
      </c>
      <c r="H115" s="95">
        <v>0</v>
      </c>
      <c r="I115" s="53">
        <f>IF(A115&gt;'Immobilien-Kalkulation'!$B$70*12,0,MAX(0,D115-G115-J115))</f>
        <v>252174.66598369359</v>
      </c>
      <c r="J115" s="53">
        <f>IF(OR(A115&gt;'Immobilien-Kalkulation'!$B$70*12,D115&lt;=0),0,MIN(H115,MAX(0,D115-G115)))</f>
        <v>0</v>
      </c>
    </row>
    <row r="116" spans="1:10" x14ac:dyDescent="0.25">
      <c r="A116">
        <v>113</v>
      </c>
      <c r="B116">
        <f t="shared" si="1"/>
        <v>10</v>
      </c>
      <c r="C116" s="28">
        <f>IF(A116&gt;'Immobilien-Kalkulation'!$B$70*12,0,IF(AND('Immobilien-Kalkulation'!$B$72=1,B116&gt;'Immobilien-Kalkulation'!$B$69),'Immobilien-Kalkulation'!$B$73,'Immobilien-Kalkulation'!$B$65))</f>
        <v>3.5000000000000003E-2</v>
      </c>
      <c r="D116" s="53">
        <f>IF(A116&gt;'Immobilien-Kalkulation'!$B$70*12,0,I115)</f>
        <v>252174.66598369359</v>
      </c>
      <c r="E116" s="53">
        <f>IF(OR(A116&gt;'Immobilien-Kalkulation'!$B$70*12,D116&lt;=0),0,IF(AND('Immobilien-Kalkulation'!$B$72=1,B116&gt;'Immobilien-Kalkulation'!$B$69),MIN(D116*C116/12+'Immobilien-Kalkulation'!$B$74/12,D116*(1+C116/12)),MIN('Immobilien-Kalkulation'!$B$67,D116*(1+C116/12))))</f>
        <v>1429.9603560928113</v>
      </c>
      <c r="F116" s="53">
        <f>IF(OR(A116&gt;'Immobilien-Kalkulation'!$B$70*12,D116&lt;=0),0,D116*C116/12)</f>
        <v>735.50944245243966</v>
      </c>
      <c r="G116" s="53">
        <f>IF(OR(A116&gt;'Immobilien-Kalkulation'!$B$70*12,D116&lt;=0),0,MAX(0,MIN(D116,E116-F116)))</f>
        <v>694.4509136403716</v>
      </c>
      <c r="H116" s="95">
        <v>0</v>
      </c>
      <c r="I116" s="53">
        <f>IF(A116&gt;'Immobilien-Kalkulation'!$B$70*12,0,MAX(0,D116-G116-J116))</f>
        <v>251480.21507005321</v>
      </c>
      <c r="J116" s="53">
        <f>IF(OR(A116&gt;'Immobilien-Kalkulation'!$B$70*12,D116&lt;=0),0,MIN(H116,MAX(0,D116-G116)))</f>
        <v>0</v>
      </c>
    </row>
    <row r="117" spans="1:10" x14ac:dyDescent="0.25">
      <c r="A117">
        <v>114</v>
      </c>
      <c r="B117">
        <f t="shared" si="1"/>
        <v>10</v>
      </c>
      <c r="C117" s="28">
        <f>IF(A117&gt;'Immobilien-Kalkulation'!$B$70*12,0,IF(AND('Immobilien-Kalkulation'!$B$72=1,B117&gt;'Immobilien-Kalkulation'!$B$69),'Immobilien-Kalkulation'!$B$73,'Immobilien-Kalkulation'!$B$65))</f>
        <v>3.5000000000000003E-2</v>
      </c>
      <c r="D117" s="53">
        <f>IF(A117&gt;'Immobilien-Kalkulation'!$B$70*12,0,I116)</f>
        <v>251480.21507005321</v>
      </c>
      <c r="E117" s="53">
        <f>IF(OR(A117&gt;'Immobilien-Kalkulation'!$B$70*12,D117&lt;=0),0,IF(AND('Immobilien-Kalkulation'!$B$72=1,B117&gt;'Immobilien-Kalkulation'!$B$69),MIN(D117*C117/12+'Immobilien-Kalkulation'!$B$74/12,D117*(1+C117/12)),MIN('Immobilien-Kalkulation'!$B$67,D117*(1+C117/12))))</f>
        <v>1429.9603560928113</v>
      </c>
      <c r="F117" s="53">
        <f>IF(OR(A117&gt;'Immobilien-Kalkulation'!$B$70*12,D117&lt;=0),0,D117*C117/12)</f>
        <v>733.48396062098857</v>
      </c>
      <c r="G117" s="53">
        <f>IF(OR(A117&gt;'Immobilien-Kalkulation'!$B$70*12,D117&lt;=0),0,MAX(0,MIN(D117,E117-F117)))</f>
        <v>696.47639547182268</v>
      </c>
      <c r="H117" s="95">
        <v>0</v>
      </c>
      <c r="I117" s="53">
        <f>IF(A117&gt;'Immobilien-Kalkulation'!$B$70*12,0,MAX(0,D117-G117-J117))</f>
        <v>250783.73867458137</v>
      </c>
      <c r="J117" s="53">
        <f>IF(OR(A117&gt;'Immobilien-Kalkulation'!$B$70*12,D117&lt;=0),0,MIN(H117,MAX(0,D117-G117)))</f>
        <v>0</v>
      </c>
    </row>
    <row r="118" spans="1:10" x14ac:dyDescent="0.25">
      <c r="A118">
        <v>115</v>
      </c>
      <c r="B118">
        <f t="shared" si="1"/>
        <v>10</v>
      </c>
      <c r="C118" s="28">
        <f>IF(A118&gt;'Immobilien-Kalkulation'!$B$70*12,0,IF(AND('Immobilien-Kalkulation'!$B$72=1,B118&gt;'Immobilien-Kalkulation'!$B$69),'Immobilien-Kalkulation'!$B$73,'Immobilien-Kalkulation'!$B$65))</f>
        <v>3.5000000000000003E-2</v>
      </c>
      <c r="D118" s="53">
        <f>IF(A118&gt;'Immobilien-Kalkulation'!$B$70*12,0,I117)</f>
        <v>250783.73867458137</v>
      </c>
      <c r="E118" s="53">
        <f>IF(OR(A118&gt;'Immobilien-Kalkulation'!$B$70*12,D118&lt;=0),0,IF(AND('Immobilien-Kalkulation'!$B$72=1,B118&gt;'Immobilien-Kalkulation'!$B$69),MIN(D118*C118/12+'Immobilien-Kalkulation'!$B$74/12,D118*(1+C118/12)),MIN('Immobilien-Kalkulation'!$B$67,D118*(1+C118/12))))</f>
        <v>1429.9603560928113</v>
      </c>
      <c r="F118" s="53">
        <f>IF(OR(A118&gt;'Immobilien-Kalkulation'!$B$70*12,D118&lt;=0),0,D118*C118/12)</f>
        <v>731.45257113419575</v>
      </c>
      <c r="G118" s="53">
        <f>IF(OR(A118&gt;'Immobilien-Kalkulation'!$B$70*12,D118&lt;=0),0,MAX(0,MIN(D118,E118-F118)))</f>
        <v>698.5077849586155</v>
      </c>
      <c r="H118" s="95">
        <v>0</v>
      </c>
      <c r="I118" s="53">
        <f>IF(A118&gt;'Immobilien-Kalkulation'!$B$70*12,0,MAX(0,D118-G118-J118))</f>
        <v>250085.23088962276</v>
      </c>
      <c r="J118" s="53">
        <f>IF(OR(A118&gt;'Immobilien-Kalkulation'!$B$70*12,D118&lt;=0),0,MIN(H118,MAX(0,D118-G118)))</f>
        <v>0</v>
      </c>
    </row>
    <row r="119" spans="1:10" x14ac:dyDescent="0.25">
      <c r="A119">
        <v>116</v>
      </c>
      <c r="B119">
        <f t="shared" si="1"/>
        <v>10</v>
      </c>
      <c r="C119" s="28">
        <f>IF(A119&gt;'Immobilien-Kalkulation'!$B$70*12,0,IF(AND('Immobilien-Kalkulation'!$B$72=1,B119&gt;'Immobilien-Kalkulation'!$B$69),'Immobilien-Kalkulation'!$B$73,'Immobilien-Kalkulation'!$B$65))</f>
        <v>3.5000000000000003E-2</v>
      </c>
      <c r="D119" s="53">
        <f>IF(A119&gt;'Immobilien-Kalkulation'!$B$70*12,0,I118)</f>
        <v>250085.23088962276</v>
      </c>
      <c r="E119" s="53">
        <f>IF(OR(A119&gt;'Immobilien-Kalkulation'!$B$70*12,D119&lt;=0),0,IF(AND('Immobilien-Kalkulation'!$B$72=1,B119&gt;'Immobilien-Kalkulation'!$B$69),MIN(D119*C119/12+'Immobilien-Kalkulation'!$B$74/12,D119*(1+C119/12)),MIN('Immobilien-Kalkulation'!$B$67,D119*(1+C119/12))))</f>
        <v>1429.9603560928113</v>
      </c>
      <c r="F119" s="53">
        <f>IF(OR(A119&gt;'Immobilien-Kalkulation'!$B$70*12,D119&lt;=0),0,D119*C119/12)</f>
        <v>729.41525676139975</v>
      </c>
      <c r="G119" s="53">
        <f>IF(OR(A119&gt;'Immobilien-Kalkulation'!$B$70*12,D119&lt;=0),0,MAX(0,MIN(D119,E119-F119)))</f>
        <v>700.54509933141151</v>
      </c>
      <c r="H119" s="95">
        <v>0</v>
      </c>
      <c r="I119" s="53">
        <f>IF(A119&gt;'Immobilien-Kalkulation'!$B$70*12,0,MAX(0,D119-G119-J119))</f>
        <v>249384.68579029135</v>
      </c>
      <c r="J119" s="53">
        <f>IF(OR(A119&gt;'Immobilien-Kalkulation'!$B$70*12,D119&lt;=0),0,MIN(H119,MAX(0,D119-G119)))</f>
        <v>0</v>
      </c>
    </row>
    <row r="120" spans="1:10" x14ac:dyDescent="0.25">
      <c r="A120">
        <v>117</v>
      </c>
      <c r="B120">
        <f t="shared" si="1"/>
        <v>10</v>
      </c>
      <c r="C120" s="28">
        <f>IF(A120&gt;'Immobilien-Kalkulation'!$B$70*12,0,IF(AND('Immobilien-Kalkulation'!$B$72=1,B120&gt;'Immobilien-Kalkulation'!$B$69),'Immobilien-Kalkulation'!$B$73,'Immobilien-Kalkulation'!$B$65))</f>
        <v>3.5000000000000003E-2</v>
      </c>
      <c r="D120" s="53">
        <f>IF(A120&gt;'Immobilien-Kalkulation'!$B$70*12,0,I119)</f>
        <v>249384.68579029135</v>
      </c>
      <c r="E120" s="53">
        <f>IF(OR(A120&gt;'Immobilien-Kalkulation'!$B$70*12,D120&lt;=0),0,IF(AND('Immobilien-Kalkulation'!$B$72=1,B120&gt;'Immobilien-Kalkulation'!$B$69),MIN(D120*C120/12+'Immobilien-Kalkulation'!$B$74/12,D120*(1+C120/12)),MIN('Immobilien-Kalkulation'!$B$67,D120*(1+C120/12))))</f>
        <v>1429.9603560928113</v>
      </c>
      <c r="F120" s="53">
        <f>IF(OR(A120&gt;'Immobilien-Kalkulation'!$B$70*12,D120&lt;=0),0,D120*C120/12)</f>
        <v>727.37200022168315</v>
      </c>
      <c r="G120" s="53">
        <f>IF(OR(A120&gt;'Immobilien-Kalkulation'!$B$70*12,D120&lt;=0),0,MAX(0,MIN(D120,E120-F120)))</f>
        <v>702.5883558711281</v>
      </c>
      <c r="H120" s="95">
        <v>0</v>
      </c>
      <c r="I120" s="53">
        <f>IF(A120&gt;'Immobilien-Kalkulation'!$B$70*12,0,MAX(0,D120-G120-J120))</f>
        <v>248682.09743442023</v>
      </c>
      <c r="J120" s="53">
        <f>IF(OR(A120&gt;'Immobilien-Kalkulation'!$B$70*12,D120&lt;=0),0,MIN(H120,MAX(0,D120-G120)))</f>
        <v>0</v>
      </c>
    </row>
    <row r="121" spans="1:10" x14ac:dyDescent="0.25">
      <c r="A121">
        <v>118</v>
      </c>
      <c r="B121">
        <f t="shared" si="1"/>
        <v>10</v>
      </c>
      <c r="C121" s="28">
        <f>IF(A121&gt;'Immobilien-Kalkulation'!$B$70*12,0,IF(AND('Immobilien-Kalkulation'!$B$72=1,B121&gt;'Immobilien-Kalkulation'!$B$69),'Immobilien-Kalkulation'!$B$73,'Immobilien-Kalkulation'!$B$65))</f>
        <v>3.5000000000000003E-2</v>
      </c>
      <c r="D121" s="53">
        <f>IF(A121&gt;'Immobilien-Kalkulation'!$B$70*12,0,I120)</f>
        <v>248682.09743442023</v>
      </c>
      <c r="E121" s="53">
        <f>IF(OR(A121&gt;'Immobilien-Kalkulation'!$B$70*12,D121&lt;=0),0,IF(AND('Immobilien-Kalkulation'!$B$72=1,B121&gt;'Immobilien-Kalkulation'!$B$69),MIN(D121*C121/12+'Immobilien-Kalkulation'!$B$74/12,D121*(1+C121/12)),MIN('Immobilien-Kalkulation'!$B$67,D121*(1+C121/12))))</f>
        <v>1429.9603560928113</v>
      </c>
      <c r="F121" s="53">
        <f>IF(OR(A121&gt;'Immobilien-Kalkulation'!$B$70*12,D121&lt;=0),0,D121*C121/12)</f>
        <v>725.32278418372573</v>
      </c>
      <c r="G121" s="53">
        <f>IF(OR(A121&gt;'Immobilien-Kalkulation'!$B$70*12,D121&lt;=0),0,MAX(0,MIN(D121,E121-F121)))</f>
        <v>704.63757190908552</v>
      </c>
      <c r="H121" s="95">
        <v>0</v>
      </c>
      <c r="I121" s="53">
        <f>IF(A121&gt;'Immobilien-Kalkulation'!$B$70*12,0,MAX(0,D121-G121-J121))</f>
        <v>247977.45986251114</v>
      </c>
      <c r="J121" s="53">
        <f>IF(OR(A121&gt;'Immobilien-Kalkulation'!$B$70*12,D121&lt;=0),0,MIN(H121,MAX(0,D121-G121)))</f>
        <v>0</v>
      </c>
    </row>
    <row r="122" spans="1:10" x14ac:dyDescent="0.25">
      <c r="A122">
        <v>119</v>
      </c>
      <c r="B122">
        <f t="shared" si="1"/>
        <v>10</v>
      </c>
      <c r="C122" s="28">
        <f>IF(A122&gt;'Immobilien-Kalkulation'!$B$70*12,0,IF(AND('Immobilien-Kalkulation'!$B$72=1,B122&gt;'Immobilien-Kalkulation'!$B$69),'Immobilien-Kalkulation'!$B$73,'Immobilien-Kalkulation'!$B$65))</f>
        <v>3.5000000000000003E-2</v>
      </c>
      <c r="D122" s="53">
        <f>IF(A122&gt;'Immobilien-Kalkulation'!$B$70*12,0,I121)</f>
        <v>247977.45986251114</v>
      </c>
      <c r="E122" s="53">
        <f>IF(OR(A122&gt;'Immobilien-Kalkulation'!$B$70*12,D122&lt;=0),0,IF(AND('Immobilien-Kalkulation'!$B$72=1,B122&gt;'Immobilien-Kalkulation'!$B$69),MIN(D122*C122/12+'Immobilien-Kalkulation'!$B$74/12,D122*(1+C122/12)),MIN('Immobilien-Kalkulation'!$B$67,D122*(1+C122/12))))</f>
        <v>1429.9603560928113</v>
      </c>
      <c r="F122" s="53">
        <f>IF(OR(A122&gt;'Immobilien-Kalkulation'!$B$70*12,D122&lt;=0),0,D122*C122/12)</f>
        <v>723.26759126565764</v>
      </c>
      <c r="G122" s="53">
        <f>IF(OR(A122&gt;'Immobilien-Kalkulation'!$B$70*12,D122&lt;=0),0,MAX(0,MIN(D122,E122-F122)))</f>
        <v>706.69276482715361</v>
      </c>
      <c r="H122" s="95">
        <v>0</v>
      </c>
      <c r="I122" s="53">
        <f>IF(A122&gt;'Immobilien-Kalkulation'!$B$70*12,0,MAX(0,D122-G122-J122))</f>
        <v>247270.76709768397</v>
      </c>
      <c r="J122" s="53">
        <f>IF(OR(A122&gt;'Immobilien-Kalkulation'!$B$70*12,D122&lt;=0),0,MIN(H122,MAX(0,D122-G122)))</f>
        <v>0</v>
      </c>
    </row>
    <row r="123" spans="1:10" x14ac:dyDescent="0.25">
      <c r="A123">
        <v>120</v>
      </c>
      <c r="B123">
        <f t="shared" si="1"/>
        <v>10</v>
      </c>
      <c r="C123" s="28">
        <f>IF(A123&gt;'Immobilien-Kalkulation'!$B$70*12,0,IF(AND('Immobilien-Kalkulation'!$B$72=1,B123&gt;'Immobilien-Kalkulation'!$B$69),'Immobilien-Kalkulation'!$B$73,'Immobilien-Kalkulation'!$B$65))</f>
        <v>3.5000000000000003E-2</v>
      </c>
      <c r="D123" s="53">
        <f>IF(A123&gt;'Immobilien-Kalkulation'!$B$70*12,0,I122)</f>
        <v>247270.76709768397</v>
      </c>
      <c r="E123" s="53">
        <f>IF(OR(A123&gt;'Immobilien-Kalkulation'!$B$70*12,D123&lt;=0),0,IF(AND('Immobilien-Kalkulation'!$B$72=1,B123&gt;'Immobilien-Kalkulation'!$B$69),MIN(D123*C123/12+'Immobilien-Kalkulation'!$B$74/12,D123*(1+C123/12)),MIN('Immobilien-Kalkulation'!$B$67,D123*(1+C123/12))))</f>
        <v>1429.9603560928113</v>
      </c>
      <c r="F123" s="53">
        <f>IF(OR(A123&gt;'Immobilien-Kalkulation'!$B$70*12,D123&lt;=0),0,D123*C123/12)</f>
        <v>721.20640403491154</v>
      </c>
      <c r="G123" s="53">
        <f>IF(OR(A123&gt;'Immobilien-Kalkulation'!$B$70*12,D123&lt;=0),0,MAX(0,MIN(D123,E123-F123)))</f>
        <v>708.75395205789971</v>
      </c>
      <c r="H123" s="95">
        <v>0</v>
      </c>
      <c r="I123" s="53">
        <f>IF(A123&gt;'Immobilien-Kalkulation'!$B$70*12,0,MAX(0,D123-G123-J123))</f>
        <v>246562.01314562609</v>
      </c>
      <c r="J123" s="53">
        <f>IF(OR(A123&gt;'Immobilien-Kalkulation'!$B$70*12,D123&lt;=0),0,MIN(H123,MAX(0,D123-G123)))</f>
        <v>0</v>
      </c>
    </row>
    <row r="124" spans="1:10" x14ac:dyDescent="0.25">
      <c r="A124">
        <v>121</v>
      </c>
      <c r="B124">
        <f t="shared" si="1"/>
        <v>11</v>
      </c>
      <c r="C124" s="28">
        <f>IF(A124&gt;'Immobilien-Kalkulation'!$B$70*12,0,IF(AND('Immobilien-Kalkulation'!$B$72=1,B124&gt;'Immobilien-Kalkulation'!$B$69),'Immobilien-Kalkulation'!$B$73,'Immobilien-Kalkulation'!$B$65))</f>
        <v>3.5000000000000003E-2</v>
      </c>
      <c r="D124" s="53">
        <f>IF(A124&gt;'Immobilien-Kalkulation'!$B$70*12,0,I123)</f>
        <v>246562.01314562609</v>
      </c>
      <c r="E124" s="53">
        <f>IF(OR(A124&gt;'Immobilien-Kalkulation'!$B$70*12,D124&lt;=0),0,IF(AND('Immobilien-Kalkulation'!$B$72=1,B124&gt;'Immobilien-Kalkulation'!$B$69),MIN(D124*C124/12+'Immobilien-Kalkulation'!$B$74/12,D124*(1+C124/12)),MIN('Immobilien-Kalkulation'!$B$67,D124*(1+C124/12))))</f>
        <v>1429.9603560928113</v>
      </c>
      <c r="F124" s="53">
        <f>IF(OR(A124&gt;'Immobilien-Kalkulation'!$B$70*12,D124&lt;=0),0,D124*C124/12)</f>
        <v>719.13920500807615</v>
      </c>
      <c r="G124" s="53">
        <f>IF(OR(A124&gt;'Immobilien-Kalkulation'!$B$70*12,D124&lt;=0),0,MAX(0,MIN(D124,E124-F124)))</f>
        <v>710.82115108473511</v>
      </c>
      <c r="H124" s="95">
        <v>0</v>
      </c>
      <c r="I124" s="53">
        <f>IF(A124&gt;'Immobilien-Kalkulation'!$B$70*12,0,MAX(0,D124-G124-J124))</f>
        <v>245851.19199454135</v>
      </c>
      <c r="J124" s="53">
        <f>IF(OR(A124&gt;'Immobilien-Kalkulation'!$B$70*12,D124&lt;=0),0,MIN(H124,MAX(0,D124-G124)))</f>
        <v>0</v>
      </c>
    </row>
    <row r="125" spans="1:10" x14ac:dyDescent="0.25">
      <c r="A125">
        <v>122</v>
      </c>
      <c r="B125">
        <f t="shared" si="1"/>
        <v>11</v>
      </c>
      <c r="C125" s="28">
        <f>IF(A125&gt;'Immobilien-Kalkulation'!$B$70*12,0,IF(AND('Immobilien-Kalkulation'!$B$72=1,B125&gt;'Immobilien-Kalkulation'!$B$69),'Immobilien-Kalkulation'!$B$73,'Immobilien-Kalkulation'!$B$65))</f>
        <v>3.5000000000000003E-2</v>
      </c>
      <c r="D125" s="53">
        <f>IF(A125&gt;'Immobilien-Kalkulation'!$B$70*12,0,I124)</f>
        <v>245851.19199454135</v>
      </c>
      <c r="E125" s="53">
        <f>IF(OR(A125&gt;'Immobilien-Kalkulation'!$B$70*12,D125&lt;=0),0,IF(AND('Immobilien-Kalkulation'!$B$72=1,B125&gt;'Immobilien-Kalkulation'!$B$69),MIN(D125*C125/12+'Immobilien-Kalkulation'!$B$74/12,D125*(1+C125/12)),MIN('Immobilien-Kalkulation'!$B$67,D125*(1+C125/12))))</f>
        <v>1429.9603560928113</v>
      </c>
      <c r="F125" s="53">
        <f>IF(OR(A125&gt;'Immobilien-Kalkulation'!$B$70*12,D125&lt;=0),0,D125*C125/12)</f>
        <v>717.06597665074571</v>
      </c>
      <c r="G125" s="53">
        <f>IF(OR(A125&gt;'Immobilien-Kalkulation'!$B$70*12,D125&lt;=0),0,MAX(0,MIN(D125,E125-F125)))</f>
        <v>712.89437944206554</v>
      </c>
      <c r="H125" s="95">
        <v>0</v>
      </c>
      <c r="I125" s="53">
        <f>IF(A125&gt;'Immobilien-Kalkulation'!$B$70*12,0,MAX(0,D125-G125-J125))</f>
        <v>245138.29761509929</v>
      </c>
      <c r="J125" s="53">
        <f>IF(OR(A125&gt;'Immobilien-Kalkulation'!$B$70*12,D125&lt;=0),0,MIN(H125,MAX(0,D125-G125)))</f>
        <v>0</v>
      </c>
    </row>
    <row r="126" spans="1:10" x14ac:dyDescent="0.25">
      <c r="A126">
        <v>123</v>
      </c>
      <c r="B126">
        <f t="shared" si="1"/>
        <v>11</v>
      </c>
      <c r="C126" s="28">
        <f>IF(A126&gt;'Immobilien-Kalkulation'!$B$70*12,0,IF(AND('Immobilien-Kalkulation'!$B$72=1,B126&gt;'Immobilien-Kalkulation'!$B$69),'Immobilien-Kalkulation'!$B$73,'Immobilien-Kalkulation'!$B$65))</f>
        <v>3.5000000000000003E-2</v>
      </c>
      <c r="D126" s="53">
        <f>IF(A126&gt;'Immobilien-Kalkulation'!$B$70*12,0,I125)</f>
        <v>245138.29761509929</v>
      </c>
      <c r="E126" s="53">
        <f>IF(OR(A126&gt;'Immobilien-Kalkulation'!$B$70*12,D126&lt;=0),0,IF(AND('Immobilien-Kalkulation'!$B$72=1,B126&gt;'Immobilien-Kalkulation'!$B$69),MIN(D126*C126/12+'Immobilien-Kalkulation'!$B$74/12,D126*(1+C126/12)),MIN('Immobilien-Kalkulation'!$B$67,D126*(1+C126/12))))</f>
        <v>1429.9603560928113</v>
      </c>
      <c r="F126" s="53">
        <f>IF(OR(A126&gt;'Immobilien-Kalkulation'!$B$70*12,D126&lt;=0),0,D126*C126/12)</f>
        <v>714.98670137737292</v>
      </c>
      <c r="G126" s="53">
        <f>IF(OR(A126&gt;'Immobilien-Kalkulation'!$B$70*12,D126&lt;=0),0,MAX(0,MIN(D126,E126-F126)))</f>
        <v>714.97365471543833</v>
      </c>
      <c r="H126" s="95">
        <v>0</v>
      </c>
      <c r="I126" s="53">
        <f>IF(A126&gt;'Immobilien-Kalkulation'!$B$70*12,0,MAX(0,D126-G126-J126))</f>
        <v>244423.32396038386</v>
      </c>
      <c r="J126" s="53">
        <f>IF(OR(A126&gt;'Immobilien-Kalkulation'!$B$70*12,D126&lt;=0),0,MIN(H126,MAX(0,D126-G126)))</f>
        <v>0</v>
      </c>
    </row>
    <row r="127" spans="1:10" x14ac:dyDescent="0.25">
      <c r="A127">
        <v>124</v>
      </c>
      <c r="B127">
        <f t="shared" si="1"/>
        <v>11</v>
      </c>
      <c r="C127" s="28">
        <f>IF(A127&gt;'Immobilien-Kalkulation'!$B$70*12,0,IF(AND('Immobilien-Kalkulation'!$B$72=1,B127&gt;'Immobilien-Kalkulation'!$B$69),'Immobilien-Kalkulation'!$B$73,'Immobilien-Kalkulation'!$B$65))</f>
        <v>3.5000000000000003E-2</v>
      </c>
      <c r="D127" s="53">
        <f>IF(A127&gt;'Immobilien-Kalkulation'!$B$70*12,0,I126)</f>
        <v>244423.32396038386</v>
      </c>
      <c r="E127" s="53">
        <f>IF(OR(A127&gt;'Immobilien-Kalkulation'!$B$70*12,D127&lt;=0),0,IF(AND('Immobilien-Kalkulation'!$B$72=1,B127&gt;'Immobilien-Kalkulation'!$B$69),MIN(D127*C127/12+'Immobilien-Kalkulation'!$B$74/12,D127*(1+C127/12)),MIN('Immobilien-Kalkulation'!$B$67,D127*(1+C127/12))))</f>
        <v>1429.9603560928113</v>
      </c>
      <c r="F127" s="53">
        <f>IF(OR(A127&gt;'Immobilien-Kalkulation'!$B$70*12,D127&lt;=0),0,D127*C127/12)</f>
        <v>712.90136155111975</v>
      </c>
      <c r="G127" s="53">
        <f>IF(OR(A127&gt;'Immobilien-Kalkulation'!$B$70*12,D127&lt;=0),0,MAX(0,MIN(D127,E127-F127)))</f>
        <v>717.0589945416915</v>
      </c>
      <c r="H127" s="95">
        <v>0</v>
      </c>
      <c r="I127" s="53">
        <f>IF(A127&gt;'Immobilien-Kalkulation'!$B$70*12,0,MAX(0,D127-G127-J127))</f>
        <v>243706.26496584216</v>
      </c>
      <c r="J127" s="53">
        <f>IF(OR(A127&gt;'Immobilien-Kalkulation'!$B$70*12,D127&lt;=0),0,MIN(H127,MAX(0,D127-G127)))</f>
        <v>0</v>
      </c>
    </row>
    <row r="128" spans="1:10" x14ac:dyDescent="0.25">
      <c r="A128">
        <v>125</v>
      </c>
      <c r="B128">
        <f t="shared" si="1"/>
        <v>11</v>
      </c>
      <c r="C128" s="28">
        <f>IF(A128&gt;'Immobilien-Kalkulation'!$B$70*12,0,IF(AND('Immobilien-Kalkulation'!$B$72=1,B128&gt;'Immobilien-Kalkulation'!$B$69),'Immobilien-Kalkulation'!$B$73,'Immobilien-Kalkulation'!$B$65))</f>
        <v>3.5000000000000003E-2</v>
      </c>
      <c r="D128" s="53">
        <f>IF(A128&gt;'Immobilien-Kalkulation'!$B$70*12,0,I127)</f>
        <v>243706.26496584216</v>
      </c>
      <c r="E128" s="53">
        <f>IF(OR(A128&gt;'Immobilien-Kalkulation'!$B$70*12,D128&lt;=0),0,IF(AND('Immobilien-Kalkulation'!$B$72=1,B128&gt;'Immobilien-Kalkulation'!$B$69),MIN(D128*C128/12+'Immobilien-Kalkulation'!$B$74/12,D128*(1+C128/12)),MIN('Immobilien-Kalkulation'!$B$67,D128*(1+C128/12))))</f>
        <v>1429.9603560928113</v>
      </c>
      <c r="F128" s="53">
        <f>IF(OR(A128&gt;'Immobilien-Kalkulation'!$B$70*12,D128&lt;=0),0,D128*C128/12)</f>
        <v>710.80993948370633</v>
      </c>
      <c r="G128" s="53">
        <f>IF(OR(A128&gt;'Immobilien-Kalkulation'!$B$70*12,D128&lt;=0),0,MAX(0,MIN(D128,E128-F128)))</f>
        <v>719.15041660910492</v>
      </c>
      <c r="H128" s="95">
        <v>0</v>
      </c>
      <c r="I128" s="53">
        <f>IF(A128&gt;'Immobilien-Kalkulation'!$B$70*12,0,MAX(0,D128-G128-J128))</f>
        <v>242987.11454923305</v>
      </c>
      <c r="J128" s="53">
        <f>IF(OR(A128&gt;'Immobilien-Kalkulation'!$B$70*12,D128&lt;=0),0,MIN(H128,MAX(0,D128-G128)))</f>
        <v>0</v>
      </c>
    </row>
    <row r="129" spans="1:10" x14ac:dyDescent="0.25">
      <c r="A129">
        <v>126</v>
      </c>
      <c r="B129">
        <f t="shared" si="1"/>
        <v>11</v>
      </c>
      <c r="C129" s="28">
        <f>IF(A129&gt;'Immobilien-Kalkulation'!$B$70*12,0,IF(AND('Immobilien-Kalkulation'!$B$72=1,B129&gt;'Immobilien-Kalkulation'!$B$69),'Immobilien-Kalkulation'!$B$73,'Immobilien-Kalkulation'!$B$65))</f>
        <v>3.5000000000000003E-2</v>
      </c>
      <c r="D129" s="53">
        <f>IF(A129&gt;'Immobilien-Kalkulation'!$B$70*12,0,I128)</f>
        <v>242987.11454923305</v>
      </c>
      <c r="E129" s="53">
        <f>IF(OR(A129&gt;'Immobilien-Kalkulation'!$B$70*12,D129&lt;=0),0,IF(AND('Immobilien-Kalkulation'!$B$72=1,B129&gt;'Immobilien-Kalkulation'!$B$69),MIN(D129*C129/12+'Immobilien-Kalkulation'!$B$74/12,D129*(1+C129/12)),MIN('Immobilien-Kalkulation'!$B$67,D129*(1+C129/12))))</f>
        <v>1429.9603560928113</v>
      </c>
      <c r="F129" s="53">
        <f>IF(OR(A129&gt;'Immobilien-Kalkulation'!$B$70*12,D129&lt;=0),0,D129*C129/12)</f>
        <v>708.71241743526309</v>
      </c>
      <c r="G129" s="53">
        <f>IF(OR(A129&gt;'Immobilien-Kalkulation'!$B$70*12,D129&lt;=0),0,MAX(0,MIN(D129,E129-F129)))</f>
        <v>721.24793865754816</v>
      </c>
      <c r="H129" s="95">
        <v>0</v>
      </c>
      <c r="I129" s="53">
        <f>IF(A129&gt;'Immobilien-Kalkulation'!$B$70*12,0,MAX(0,D129-G129-J129))</f>
        <v>242265.8666105755</v>
      </c>
      <c r="J129" s="53">
        <f>IF(OR(A129&gt;'Immobilien-Kalkulation'!$B$70*12,D129&lt;=0),0,MIN(H129,MAX(0,D129-G129)))</f>
        <v>0</v>
      </c>
    </row>
    <row r="130" spans="1:10" x14ac:dyDescent="0.25">
      <c r="A130">
        <v>127</v>
      </c>
      <c r="B130">
        <f t="shared" si="1"/>
        <v>11</v>
      </c>
      <c r="C130" s="28">
        <f>IF(A130&gt;'Immobilien-Kalkulation'!$B$70*12,0,IF(AND('Immobilien-Kalkulation'!$B$72=1,B130&gt;'Immobilien-Kalkulation'!$B$69),'Immobilien-Kalkulation'!$B$73,'Immobilien-Kalkulation'!$B$65))</f>
        <v>3.5000000000000003E-2</v>
      </c>
      <c r="D130" s="53">
        <f>IF(A130&gt;'Immobilien-Kalkulation'!$B$70*12,0,I129)</f>
        <v>242265.8666105755</v>
      </c>
      <c r="E130" s="53">
        <f>IF(OR(A130&gt;'Immobilien-Kalkulation'!$B$70*12,D130&lt;=0),0,IF(AND('Immobilien-Kalkulation'!$B$72=1,B130&gt;'Immobilien-Kalkulation'!$B$69),MIN(D130*C130/12+'Immobilien-Kalkulation'!$B$74/12,D130*(1+C130/12)),MIN('Immobilien-Kalkulation'!$B$67,D130*(1+C130/12))))</f>
        <v>1429.9603560928113</v>
      </c>
      <c r="F130" s="53">
        <f>IF(OR(A130&gt;'Immobilien-Kalkulation'!$B$70*12,D130&lt;=0),0,D130*C130/12)</f>
        <v>706.60877761417862</v>
      </c>
      <c r="G130" s="53">
        <f>IF(OR(A130&gt;'Immobilien-Kalkulation'!$B$70*12,D130&lt;=0),0,MAX(0,MIN(D130,E130-F130)))</f>
        <v>723.35157847863263</v>
      </c>
      <c r="H130" s="95">
        <v>0</v>
      </c>
      <c r="I130" s="53">
        <f>IF(A130&gt;'Immobilien-Kalkulation'!$B$70*12,0,MAX(0,D130-G130-J130))</f>
        <v>241542.51503209685</v>
      </c>
      <c r="J130" s="53">
        <f>IF(OR(A130&gt;'Immobilien-Kalkulation'!$B$70*12,D130&lt;=0),0,MIN(H130,MAX(0,D130-G130)))</f>
        <v>0</v>
      </c>
    </row>
    <row r="131" spans="1:10" x14ac:dyDescent="0.25">
      <c r="A131">
        <v>128</v>
      </c>
      <c r="B131">
        <f t="shared" si="1"/>
        <v>11</v>
      </c>
      <c r="C131" s="28">
        <f>IF(A131&gt;'Immobilien-Kalkulation'!$B$70*12,0,IF(AND('Immobilien-Kalkulation'!$B$72=1,B131&gt;'Immobilien-Kalkulation'!$B$69),'Immobilien-Kalkulation'!$B$73,'Immobilien-Kalkulation'!$B$65))</f>
        <v>3.5000000000000003E-2</v>
      </c>
      <c r="D131" s="53">
        <f>IF(A131&gt;'Immobilien-Kalkulation'!$B$70*12,0,I130)</f>
        <v>241542.51503209685</v>
      </c>
      <c r="E131" s="53">
        <f>IF(OR(A131&gt;'Immobilien-Kalkulation'!$B$70*12,D131&lt;=0),0,IF(AND('Immobilien-Kalkulation'!$B$72=1,B131&gt;'Immobilien-Kalkulation'!$B$69),MIN(D131*C131/12+'Immobilien-Kalkulation'!$B$74/12,D131*(1+C131/12)),MIN('Immobilien-Kalkulation'!$B$67,D131*(1+C131/12))))</f>
        <v>1429.9603560928113</v>
      </c>
      <c r="F131" s="53">
        <f>IF(OR(A131&gt;'Immobilien-Kalkulation'!$B$70*12,D131&lt;=0),0,D131*C131/12)</f>
        <v>704.49900217694915</v>
      </c>
      <c r="G131" s="53">
        <f>IF(OR(A131&gt;'Immobilien-Kalkulation'!$B$70*12,D131&lt;=0),0,MAX(0,MIN(D131,E131-F131)))</f>
        <v>725.46135391586211</v>
      </c>
      <c r="H131" s="95">
        <v>0</v>
      </c>
      <c r="I131" s="53">
        <f>IF(A131&gt;'Immobilien-Kalkulation'!$B$70*12,0,MAX(0,D131-G131-J131))</f>
        <v>240817.05367818099</v>
      </c>
      <c r="J131" s="53">
        <f>IF(OR(A131&gt;'Immobilien-Kalkulation'!$B$70*12,D131&lt;=0),0,MIN(H131,MAX(0,D131-G131)))</f>
        <v>0</v>
      </c>
    </row>
    <row r="132" spans="1:10" x14ac:dyDescent="0.25">
      <c r="A132">
        <v>129</v>
      </c>
      <c r="B132">
        <f t="shared" ref="B132:B195" si="2">INT((A132-1)/12)+1</f>
        <v>11</v>
      </c>
      <c r="C132" s="28">
        <f>IF(A132&gt;'Immobilien-Kalkulation'!$B$70*12,0,IF(AND('Immobilien-Kalkulation'!$B$72=1,B132&gt;'Immobilien-Kalkulation'!$B$69),'Immobilien-Kalkulation'!$B$73,'Immobilien-Kalkulation'!$B$65))</f>
        <v>3.5000000000000003E-2</v>
      </c>
      <c r="D132" s="53">
        <f>IF(A132&gt;'Immobilien-Kalkulation'!$B$70*12,0,I131)</f>
        <v>240817.05367818099</v>
      </c>
      <c r="E132" s="53">
        <f>IF(OR(A132&gt;'Immobilien-Kalkulation'!$B$70*12,D132&lt;=0),0,IF(AND('Immobilien-Kalkulation'!$B$72=1,B132&gt;'Immobilien-Kalkulation'!$B$69),MIN(D132*C132/12+'Immobilien-Kalkulation'!$B$74/12,D132*(1+C132/12)),MIN('Immobilien-Kalkulation'!$B$67,D132*(1+C132/12))))</f>
        <v>1429.9603560928113</v>
      </c>
      <c r="F132" s="53">
        <f>IF(OR(A132&gt;'Immobilien-Kalkulation'!$B$70*12,D132&lt;=0),0,D132*C132/12)</f>
        <v>702.38307322802802</v>
      </c>
      <c r="G132" s="53">
        <f>IF(OR(A132&gt;'Immobilien-Kalkulation'!$B$70*12,D132&lt;=0),0,MAX(0,MIN(D132,E132-F132)))</f>
        <v>727.57728286478323</v>
      </c>
      <c r="H132" s="95">
        <v>0</v>
      </c>
      <c r="I132" s="53">
        <f>IF(A132&gt;'Immobilien-Kalkulation'!$B$70*12,0,MAX(0,D132-G132-J132))</f>
        <v>240089.47639531622</v>
      </c>
      <c r="J132" s="53">
        <f>IF(OR(A132&gt;'Immobilien-Kalkulation'!$B$70*12,D132&lt;=0),0,MIN(H132,MAX(0,D132-G132)))</f>
        <v>0</v>
      </c>
    </row>
    <row r="133" spans="1:10" x14ac:dyDescent="0.25">
      <c r="A133">
        <v>130</v>
      </c>
      <c r="B133">
        <f t="shared" si="2"/>
        <v>11</v>
      </c>
      <c r="C133" s="28">
        <f>IF(A133&gt;'Immobilien-Kalkulation'!$B$70*12,0,IF(AND('Immobilien-Kalkulation'!$B$72=1,B133&gt;'Immobilien-Kalkulation'!$B$69),'Immobilien-Kalkulation'!$B$73,'Immobilien-Kalkulation'!$B$65))</f>
        <v>3.5000000000000003E-2</v>
      </c>
      <c r="D133" s="53">
        <f>IF(A133&gt;'Immobilien-Kalkulation'!$B$70*12,0,I132)</f>
        <v>240089.47639531622</v>
      </c>
      <c r="E133" s="53">
        <f>IF(OR(A133&gt;'Immobilien-Kalkulation'!$B$70*12,D133&lt;=0),0,IF(AND('Immobilien-Kalkulation'!$B$72=1,B133&gt;'Immobilien-Kalkulation'!$B$69),MIN(D133*C133/12+'Immobilien-Kalkulation'!$B$74/12,D133*(1+C133/12)),MIN('Immobilien-Kalkulation'!$B$67,D133*(1+C133/12))))</f>
        <v>1429.9603560928113</v>
      </c>
      <c r="F133" s="53">
        <f>IF(OR(A133&gt;'Immobilien-Kalkulation'!$B$70*12,D133&lt;=0),0,D133*C133/12)</f>
        <v>700.26097281967247</v>
      </c>
      <c r="G133" s="53">
        <f>IF(OR(A133&gt;'Immobilien-Kalkulation'!$B$70*12,D133&lt;=0),0,MAX(0,MIN(D133,E133-F133)))</f>
        <v>729.69938327313878</v>
      </c>
      <c r="H133" s="95">
        <v>0</v>
      </c>
      <c r="I133" s="53">
        <f>IF(A133&gt;'Immobilien-Kalkulation'!$B$70*12,0,MAX(0,D133-G133-J133))</f>
        <v>239359.77701204308</v>
      </c>
      <c r="J133" s="53">
        <f>IF(OR(A133&gt;'Immobilien-Kalkulation'!$B$70*12,D133&lt;=0),0,MIN(H133,MAX(0,D133-G133)))</f>
        <v>0</v>
      </c>
    </row>
    <row r="134" spans="1:10" x14ac:dyDescent="0.25">
      <c r="A134">
        <v>131</v>
      </c>
      <c r="B134">
        <f t="shared" si="2"/>
        <v>11</v>
      </c>
      <c r="C134" s="28">
        <f>IF(A134&gt;'Immobilien-Kalkulation'!$B$70*12,0,IF(AND('Immobilien-Kalkulation'!$B$72=1,B134&gt;'Immobilien-Kalkulation'!$B$69),'Immobilien-Kalkulation'!$B$73,'Immobilien-Kalkulation'!$B$65))</f>
        <v>3.5000000000000003E-2</v>
      </c>
      <c r="D134" s="53">
        <f>IF(A134&gt;'Immobilien-Kalkulation'!$B$70*12,0,I133)</f>
        <v>239359.77701204308</v>
      </c>
      <c r="E134" s="53">
        <f>IF(OR(A134&gt;'Immobilien-Kalkulation'!$B$70*12,D134&lt;=0),0,IF(AND('Immobilien-Kalkulation'!$B$72=1,B134&gt;'Immobilien-Kalkulation'!$B$69),MIN(D134*C134/12+'Immobilien-Kalkulation'!$B$74/12,D134*(1+C134/12)),MIN('Immobilien-Kalkulation'!$B$67,D134*(1+C134/12))))</f>
        <v>1429.9603560928113</v>
      </c>
      <c r="F134" s="53">
        <f>IF(OR(A134&gt;'Immobilien-Kalkulation'!$B$70*12,D134&lt;=0),0,D134*C134/12)</f>
        <v>698.13268295179239</v>
      </c>
      <c r="G134" s="53">
        <f>IF(OR(A134&gt;'Immobilien-Kalkulation'!$B$70*12,D134&lt;=0),0,MAX(0,MIN(D134,E134-F134)))</f>
        <v>731.82767314101886</v>
      </c>
      <c r="H134" s="95">
        <v>0</v>
      </c>
      <c r="I134" s="53">
        <f>IF(A134&gt;'Immobilien-Kalkulation'!$B$70*12,0,MAX(0,D134-G134-J134))</f>
        <v>238627.94933890205</v>
      </c>
      <c r="J134" s="53">
        <f>IF(OR(A134&gt;'Immobilien-Kalkulation'!$B$70*12,D134&lt;=0),0,MIN(H134,MAX(0,D134-G134)))</f>
        <v>0</v>
      </c>
    </row>
    <row r="135" spans="1:10" x14ac:dyDescent="0.25">
      <c r="A135">
        <v>132</v>
      </c>
      <c r="B135">
        <f t="shared" si="2"/>
        <v>11</v>
      </c>
      <c r="C135" s="28">
        <f>IF(A135&gt;'Immobilien-Kalkulation'!$B$70*12,0,IF(AND('Immobilien-Kalkulation'!$B$72=1,B135&gt;'Immobilien-Kalkulation'!$B$69),'Immobilien-Kalkulation'!$B$73,'Immobilien-Kalkulation'!$B$65))</f>
        <v>3.5000000000000003E-2</v>
      </c>
      <c r="D135" s="53">
        <f>IF(A135&gt;'Immobilien-Kalkulation'!$B$70*12,0,I134)</f>
        <v>238627.94933890205</v>
      </c>
      <c r="E135" s="53">
        <f>IF(OR(A135&gt;'Immobilien-Kalkulation'!$B$70*12,D135&lt;=0),0,IF(AND('Immobilien-Kalkulation'!$B$72=1,B135&gt;'Immobilien-Kalkulation'!$B$69),MIN(D135*C135/12+'Immobilien-Kalkulation'!$B$74/12,D135*(1+C135/12)),MIN('Immobilien-Kalkulation'!$B$67,D135*(1+C135/12))))</f>
        <v>1429.9603560928113</v>
      </c>
      <c r="F135" s="53">
        <f>IF(OR(A135&gt;'Immobilien-Kalkulation'!$B$70*12,D135&lt;=0),0,D135*C135/12)</f>
        <v>695.99818557179776</v>
      </c>
      <c r="G135" s="53">
        <f>IF(OR(A135&gt;'Immobilien-Kalkulation'!$B$70*12,D135&lt;=0),0,MAX(0,MIN(D135,E135-F135)))</f>
        <v>733.96217052101349</v>
      </c>
      <c r="H135" s="95">
        <v>0</v>
      </c>
      <c r="I135" s="53">
        <f>IF(A135&gt;'Immobilien-Kalkulation'!$B$70*12,0,MAX(0,D135-G135-J135))</f>
        <v>237893.98716838105</v>
      </c>
      <c r="J135" s="53">
        <f>IF(OR(A135&gt;'Immobilien-Kalkulation'!$B$70*12,D135&lt;=0),0,MIN(H135,MAX(0,D135-G135)))</f>
        <v>0</v>
      </c>
    </row>
    <row r="136" spans="1:10" x14ac:dyDescent="0.25">
      <c r="A136">
        <v>133</v>
      </c>
      <c r="B136">
        <f t="shared" si="2"/>
        <v>12</v>
      </c>
      <c r="C136" s="28">
        <f>IF(A136&gt;'Immobilien-Kalkulation'!$B$70*12,0,IF(AND('Immobilien-Kalkulation'!$B$72=1,B136&gt;'Immobilien-Kalkulation'!$B$69),'Immobilien-Kalkulation'!$B$73,'Immobilien-Kalkulation'!$B$65))</f>
        <v>3.5000000000000003E-2</v>
      </c>
      <c r="D136" s="53">
        <f>IF(A136&gt;'Immobilien-Kalkulation'!$B$70*12,0,I135)</f>
        <v>237893.98716838105</v>
      </c>
      <c r="E136" s="53">
        <f>IF(OR(A136&gt;'Immobilien-Kalkulation'!$B$70*12,D136&lt;=0),0,IF(AND('Immobilien-Kalkulation'!$B$72=1,B136&gt;'Immobilien-Kalkulation'!$B$69),MIN(D136*C136/12+'Immobilien-Kalkulation'!$B$74/12,D136*(1+C136/12)),MIN('Immobilien-Kalkulation'!$B$67,D136*(1+C136/12))))</f>
        <v>1429.9603560928113</v>
      </c>
      <c r="F136" s="53">
        <f>IF(OR(A136&gt;'Immobilien-Kalkulation'!$B$70*12,D136&lt;=0),0,D136*C136/12)</f>
        <v>693.85746257444487</v>
      </c>
      <c r="G136" s="53">
        <f>IF(OR(A136&gt;'Immobilien-Kalkulation'!$B$70*12,D136&lt;=0),0,MAX(0,MIN(D136,E136-F136)))</f>
        <v>736.10289351836639</v>
      </c>
      <c r="H136" s="95">
        <v>0</v>
      </c>
      <c r="I136" s="53">
        <f>IF(A136&gt;'Immobilien-Kalkulation'!$B$70*12,0,MAX(0,D136-G136-J136))</f>
        <v>237157.88427486268</v>
      </c>
      <c r="J136" s="53">
        <f>IF(OR(A136&gt;'Immobilien-Kalkulation'!$B$70*12,D136&lt;=0),0,MIN(H136,MAX(0,D136-G136)))</f>
        <v>0</v>
      </c>
    </row>
    <row r="137" spans="1:10" x14ac:dyDescent="0.25">
      <c r="A137">
        <v>134</v>
      </c>
      <c r="B137">
        <f t="shared" si="2"/>
        <v>12</v>
      </c>
      <c r="C137" s="28">
        <f>IF(A137&gt;'Immobilien-Kalkulation'!$B$70*12,0,IF(AND('Immobilien-Kalkulation'!$B$72=1,B137&gt;'Immobilien-Kalkulation'!$B$69),'Immobilien-Kalkulation'!$B$73,'Immobilien-Kalkulation'!$B$65))</f>
        <v>3.5000000000000003E-2</v>
      </c>
      <c r="D137" s="53">
        <f>IF(A137&gt;'Immobilien-Kalkulation'!$B$70*12,0,I136)</f>
        <v>237157.88427486268</v>
      </c>
      <c r="E137" s="53">
        <f>IF(OR(A137&gt;'Immobilien-Kalkulation'!$B$70*12,D137&lt;=0),0,IF(AND('Immobilien-Kalkulation'!$B$72=1,B137&gt;'Immobilien-Kalkulation'!$B$69),MIN(D137*C137/12+'Immobilien-Kalkulation'!$B$74/12,D137*(1+C137/12)),MIN('Immobilien-Kalkulation'!$B$67,D137*(1+C137/12))))</f>
        <v>1429.9603560928113</v>
      </c>
      <c r="F137" s="53">
        <f>IF(OR(A137&gt;'Immobilien-Kalkulation'!$B$70*12,D137&lt;=0),0,D137*C137/12)</f>
        <v>691.7104958016829</v>
      </c>
      <c r="G137" s="53">
        <f>IF(OR(A137&gt;'Immobilien-Kalkulation'!$B$70*12,D137&lt;=0),0,MAX(0,MIN(D137,E137-F137)))</f>
        <v>738.24986029112836</v>
      </c>
      <c r="H137" s="95">
        <v>0</v>
      </c>
      <c r="I137" s="53">
        <f>IF(A137&gt;'Immobilien-Kalkulation'!$B$70*12,0,MAX(0,D137-G137-J137))</f>
        <v>236419.63441457154</v>
      </c>
      <c r="J137" s="53">
        <f>IF(OR(A137&gt;'Immobilien-Kalkulation'!$B$70*12,D137&lt;=0),0,MIN(H137,MAX(0,D137-G137)))</f>
        <v>0</v>
      </c>
    </row>
    <row r="138" spans="1:10" x14ac:dyDescent="0.25">
      <c r="A138">
        <v>135</v>
      </c>
      <c r="B138">
        <f t="shared" si="2"/>
        <v>12</v>
      </c>
      <c r="C138" s="28">
        <f>IF(A138&gt;'Immobilien-Kalkulation'!$B$70*12,0,IF(AND('Immobilien-Kalkulation'!$B$72=1,B138&gt;'Immobilien-Kalkulation'!$B$69),'Immobilien-Kalkulation'!$B$73,'Immobilien-Kalkulation'!$B$65))</f>
        <v>3.5000000000000003E-2</v>
      </c>
      <c r="D138" s="53">
        <f>IF(A138&gt;'Immobilien-Kalkulation'!$B$70*12,0,I137)</f>
        <v>236419.63441457154</v>
      </c>
      <c r="E138" s="53">
        <f>IF(OR(A138&gt;'Immobilien-Kalkulation'!$B$70*12,D138&lt;=0),0,IF(AND('Immobilien-Kalkulation'!$B$72=1,B138&gt;'Immobilien-Kalkulation'!$B$69),MIN(D138*C138/12+'Immobilien-Kalkulation'!$B$74/12,D138*(1+C138/12)),MIN('Immobilien-Kalkulation'!$B$67,D138*(1+C138/12))))</f>
        <v>1429.9603560928113</v>
      </c>
      <c r="F138" s="53">
        <f>IF(OR(A138&gt;'Immobilien-Kalkulation'!$B$70*12,D138&lt;=0),0,D138*C138/12)</f>
        <v>689.55726704250037</v>
      </c>
      <c r="G138" s="53">
        <f>IF(OR(A138&gt;'Immobilien-Kalkulation'!$B$70*12,D138&lt;=0),0,MAX(0,MIN(D138,E138-F138)))</f>
        <v>740.40308905031088</v>
      </c>
      <c r="H138" s="95">
        <v>0</v>
      </c>
      <c r="I138" s="53">
        <f>IF(A138&gt;'Immobilien-Kalkulation'!$B$70*12,0,MAX(0,D138-G138-J138))</f>
        <v>235679.23132552122</v>
      </c>
      <c r="J138" s="53">
        <f>IF(OR(A138&gt;'Immobilien-Kalkulation'!$B$70*12,D138&lt;=0),0,MIN(H138,MAX(0,D138-G138)))</f>
        <v>0</v>
      </c>
    </row>
    <row r="139" spans="1:10" x14ac:dyDescent="0.25">
      <c r="A139">
        <v>136</v>
      </c>
      <c r="B139">
        <f t="shared" si="2"/>
        <v>12</v>
      </c>
      <c r="C139" s="28">
        <f>IF(A139&gt;'Immobilien-Kalkulation'!$B$70*12,0,IF(AND('Immobilien-Kalkulation'!$B$72=1,B139&gt;'Immobilien-Kalkulation'!$B$69),'Immobilien-Kalkulation'!$B$73,'Immobilien-Kalkulation'!$B$65))</f>
        <v>3.5000000000000003E-2</v>
      </c>
      <c r="D139" s="53">
        <f>IF(A139&gt;'Immobilien-Kalkulation'!$B$70*12,0,I138)</f>
        <v>235679.23132552122</v>
      </c>
      <c r="E139" s="53">
        <f>IF(OR(A139&gt;'Immobilien-Kalkulation'!$B$70*12,D139&lt;=0),0,IF(AND('Immobilien-Kalkulation'!$B$72=1,B139&gt;'Immobilien-Kalkulation'!$B$69),MIN(D139*C139/12+'Immobilien-Kalkulation'!$B$74/12,D139*(1+C139/12)),MIN('Immobilien-Kalkulation'!$B$67,D139*(1+C139/12))))</f>
        <v>1429.9603560928113</v>
      </c>
      <c r="F139" s="53">
        <f>IF(OR(A139&gt;'Immobilien-Kalkulation'!$B$70*12,D139&lt;=0),0,D139*C139/12)</f>
        <v>687.39775803277018</v>
      </c>
      <c r="G139" s="53">
        <f>IF(OR(A139&gt;'Immobilien-Kalkulation'!$B$70*12,D139&lt;=0),0,MAX(0,MIN(D139,E139-F139)))</f>
        <v>742.56259806004107</v>
      </c>
      <c r="H139" s="95">
        <v>0</v>
      </c>
      <c r="I139" s="53">
        <f>IF(A139&gt;'Immobilien-Kalkulation'!$B$70*12,0,MAX(0,D139-G139-J139))</f>
        <v>234936.66872746119</v>
      </c>
      <c r="J139" s="53">
        <f>IF(OR(A139&gt;'Immobilien-Kalkulation'!$B$70*12,D139&lt;=0),0,MIN(H139,MAX(0,D139-G139)))</f>
        <v>0</v>
      </c>
    </row>
    <row r="140" spans="1:10" x14ac:dyDescent="0.25">
      <c r="A140">
        <v>137</v>
      </c>
      <c r="B140">
        <f t="shared" si="2"/>
        <v>12</v>
      </c>
      <c r="C140" s="28">
        <f>IF(A140&gt;'Immobilien-Kalkulation'!$B$70*12,0,IF(AND('Immobilien-Kalkulation'!$B$72=1,B140&gt;'Immobilien-Kalkulation'!$B$69),'Immobilien-Kalkulation'!$B$73,'Immobilien-Kalkulation'!$B$65))</f>
        <v>3.5000000000000003E-2</v>
      </c>
      <c r="D140" s="53">
        <f>IF(A140&gt;'Immobilien-Kalkulation'!$B$70*12,0,I139)</f>
        <v>234936.66872746119</v>
      </c>
      <c r="E140" s="53">
        <f>IF(OR(A140&gt;'Immobilien-Kalkulation'!$B$70*12,D140&lt;=0),0,IF(AND('Immobilien-Kalkulation'!$B$72=1,B140&gt;'Immobilien-Kalkulation'!$B$69),MIN(D140*C140/12+'Immobilien-Kalkulation'!$B$74/12,D140*(1+C140/12)),MIN('Immobilien-Kalkulation'!$B$67,D140*(1+C140/12))))</f>
        <v>1429.9603560928113</v>
      </c>
      <c r="F140" s="53">
        <f>IF(OR(A140&gt;'Immobilien-Kalkulation'!$B$70*12,D140&lt;=0),0,D140*C140/12)</f>
        <v>685.23195045509522</v>
      </c>
      <c r="G140" s="53">
        <f>IF(OR(A140&gt;'Immobilien-Kalkulation'!$B$70*12,D140&lt;=0),0,MAX(0,MIN(D140,E140-F140)))</f>
        <v>744.72840563771604</v>
      </c>
      <c r="H140" s="95">
        <v>0</v>
      </c>
      <c r="I140" s="53">
        <f>IF(A140&gt;'Immobilien-Kalkulation'!$B$70*12,0,MAX(0,D140-G140-J140))</f>
        <v>234191.94032182347</v>
      </c>
      <c r="J140" s="53">
        <f>IF(OR(A140&gt;'Immobilien-Kalkulation'!$B$70*12,D140&lt;=0),0,MIN(H140,MAX(0,D140-G140)))</f>
        <v>0</v>
      </c>
    </row>
    <row r="141" spans="1:10" x14ac:dyDescent="0.25">
      <c r="A141">
        <v>138</v>
      </c>
      <c r="B141">
        <f t="shared" si="2"/>
        <v>12</v>
      </c>
      <c r="C141" s="28">
        <f>IF(A141&gt;'Immobilien-Kalkulation'!$B$70*12,0,IF(AND('Immobilien-Kalkulation'!$B$72=1,B141&gt;'Immobilien-Kalkulation'!$B$69),'Immobilien-Kalkulation'!$B$73,'Immobilien-Kalkulation'!$B$65))</f>
        <v>3.5000000000000003E-2</v>
      </c>
      <c r="D141" s="53">
        <f>IF(A141&gt;'Immobilien-Kalkulation'!$B$70*12,0,I140)</f>
        <v>234191.94032182347</v>
      </c>
      <c r="E141" s="53">
        <f>IF(OR(A141&gt;'Immobilien-Kalkulation'!$B$70*12,D141&lt;=0),0,IF(AND('Immobilien-Kalkulation'!$B$72=1,B141&gt;'Immobilien-Kalkulation'!$B$69),MIN(D141*C141/12+'Immobilien-Kalkulation'!$B$74/12,D141*(1+C141/12)),MIN('Immobilien-Kalkulation'!$B$67,D141*(1+C141/12))))</f>
        <v>1429.9603560928113</v>
      </c>
      <c r="F141" s="53">
        <f>IF(OR(A141&gt;'Immobilien-Kalkulation'!$B$70*12,D141&lt;=0),0,D141*C141/12)</f>
        <v>683.0598259386519</v>
      </c>
      <c r="G141" s="53">
        <f>IF(OR(A141&gt;'Immobilien-Kalkulation'!$B$70*12,D141&lt;=0),0,MAX(0,MIN(D141,E141-F141)))</f>
        <v>746.90053015415936</v>
      </c>
      <c r="H141" s="95">
        <v>0</v>
      </c>
      <c r="I141" s="53">
        <f>IF(A141&gt;'Immobilien-Kalkulation'!$B$70*12,0,MAX(0,D141-G141-J141))</f>
        <v>233445.03979166932</v>
      </c>
      <c r="J141" s="53">
        <f>IF(OR(A141&gt;'Immobilien-Kalkulation'!$B$70*12,D141&lt;=0),0,MIN(H141,MAX(0,D141-G141)))</f>
        <v>0</v>
      </c>
    </row>
    <row r="142" spans="1:10" x14ac:dyDescent="0.25">
      <c r="A142">
        <v>139</v>
      </c>
      <c r="B142">
        <f t="shared" si="2"/>
        <v>12</v>
      </c>
      <c r="C142" s="28">
        <f>IF(A142&gt;'Immobilien-Kalkulation'!$B$70*12,0,IF(AND('Immobilien-Kalkulation'!$B$72=1,B142&gt;'Immobilien-Kalkulation'!$B$69),'Immobilien-Kalkulation'!$B$73,'Immobilien-Kalkulation'!$B$65))</f>
        <v>3.5000000000000003E-2</v>
      </c>
      <c r="D142" s="53">
        <f>IF(A142&gt;'Immobilien-Kalkulation'!$B$70*12,0,I141)</f>
        <v>233445.03979166932</v>
      </c>
      <c r="E142" s="53">
        <f>IF(OR(A142&gt;'Immobilien-Kalkulation'!$B$70*12,D142&lt;=0),0,IF(AND('Immobilien-Kalkulation'!$B$72=1,B142&gt;'Immobilien-Kalkulation'!$B$69),MIN(D142*C142/12+'Immobilien-Kalkulation'!$B$74/12,D142*(1+C142/12)),MIN('Immobilien-Kalkulation'!$B$67,D142*(1+C142/12))))</f>
        <v>1429.9603560928113</v>
      </c>
      <c r="F142" s="53">
        <f>IF(OR(A142&gt;'Immobilien-Kalkulation'!$B$70*12,D142&lt;=0),0,D142*C142/12)</f>
        <v>680.8813660590356</v>
      </c>
      <c r="G142" s="53">
        <f>IF(OR(A142&gt;'Immobilien-Kalkulation'!$B$70*12,D142&lt;=0),0,MAX(0,MIN(D142,E142-F142)))</f>
        <v>749.07899003377565</v>
      </c>
      <c r="H142" s="95">
        <v>0</v>
      </c>
      <c r="I142" s="53">
        <f>IF(A142&gt;'Immobilien-Kalkulation'!$B$70*12,0,MAX(0,D142-G142-J142))</f>
        <v>232695.96080163555</v>
      </c>
      <c r="J142" s="53">
        <f>IF(OR(A142&gt;'Immobilien-Kalkulation'!$B$70*12,D142&lt;=0),0,MIN(H142,MAX(0,D142-G142)))</f>
        <v>0</v>
      </c>
    </row>
    <row r="143" spans="1:10" x14ac:dyDescent="0.25">
      <c r="A143">
        <v>140</v>
      </c>
      <c r="B143">
        <f t="shared" si="2"/>
        <v>12</v>
      </c>
      <c r="C143" s="28">
        <f>IF(A143&gt;'Immobilien-Kalkulation'!$B$70*12,0,IF(AND('Immobilien-Kalkulation'!$B$72=1,B143&gt;'Immobilien-Kalkulation'!$B$69),'Immobilien-Kalkulation'!$B$73,'Immobilien-Kalkulation'!$B$65))</f>
        <v>3.5000000000000003E-2</v>
      </c>
      <c r="D143" s="53">
        <f>IF(A143&gt;'Immobilien-Kalkulation'!$B$70*12,0,I142)</f>
        <v>232695.96080163555</v>
      </c>
      <c r="E143" s="53">
        <f>IF(OR(A143&gt;'Immobilien-Kalkulation'!$B$70*12,D143&lt;=0),0,IF(AND('Immobilien-Kalkulation'!$B$72=1,B143&gt;'Immobilien-Kalkulation'!$B$69),MIN(D143*C143/12+'Immobilien-Kalkulation'!$B$74/12,D143*(1+C143/12)),MIN('Immobilien-Kalkulation'!$B$67,D143*(1+C143/12))))</f>
        <v>1429.9603560928113</v>
      </c>
      <c r="F143" s="53">
        <f>IF(OR(A143&gt;'Immobilien-Kalkulation'!$B$70*12,D143&lt;=0),0,D143*C143/12)</f>
        <v>678.69655233810374</v>
      </c>
      <c r="G143" s="53">
        <f>IF(OR(A143&gt;'Immobilien-Kalkulation'!$B$70*12,D143&lt;=0),0,MAX(0,MIN(D143,E143-F143)))</f>
        <v>751.26380375470751</v>
      </c>
      <c r="H143" s="95">
        <v>0</v>
      </c>
      <c r="I143" s="53">
        <f>IF(A143&gt;'Immobilien-Kalkulation'!$B$70*12,0,MAX(0,D143-G143-J143))</f>
        <v>231944.69699788085</v>
      </c>
      <c r="J143" s="53">
        <f>IF(OR(A143&gt;'Immobilien-Kalkulation'!$B$70*12,D143&lt;=0),0,MIN(H143,MAX(0,D143-G143)))</f>
        <v>0</v>
      </c>
    </row>
    <row r="144" spans="1:10" x14ac:dyDescent="0.25">
      <c r="A144">
        <v>141</v>
      </c>
      <c r="B144">
        <f t="shared" si="2"/>
        <v>12</v>
      </c>
      <c r="C144" s="28">
        <f>IF(A144&gt;'Immobilien-Kalkulation'!$B$70*12,0,IF(AND('Immobilien-Kalkulation'!$B$72=1,B144&gt;'Immobilien-Kalkulation'!$B$69),'Immobilien-Kalkulation'!$B$73,'Immobilien-Kalkulation'!$B$65))</f>
        <v>3.5000000000000003E-2</v>
      </c>
      <c r="D144" s="53">
        <f>IF(A144&gt;'Immobilien-Kalkulation'!$B$70*12,0,I143)</f>
        <v>231944.69699788085</v>
      </c>
      <c r="E144" s="53">
        <f>IF(OR(A144&gt;'Immobilien-Kalkulation'!$B$70*12,D144&lt;=0),0,IF(AND('Immobilien-Kalkulation'!$B$72=1,B144&gt;'Immobilien-Kalkulation'!$B$69),MIN(D144*C144/12+'Immobilien-Kalkulation'!$B$74/12,D144*(1+C144/12)),MIN('Immobilien-Kalkulation'!$B$67,D144*(1+C144/12))))</f>
        <v>1429.9603560928113</v>
      </c>
      <c r="F144" s="53">
        <f>IF(OR(A144&gt;'Immobilien-Kalkulation'!$B$70*12,D144&lt;=0),0,D144*C144/12)</f>
        <v>676.50536624381914</v>
      </c>
      <c r="G144" s="53">
        <f>IF(OR(A144&gt;'Immobilien-Kalkulation'!$B$70*12,D144&lt;=0),0,MAX(0,MIN(D144,E144-F144)))</f>
        <v>753.45498984899211</v>
      </c>
      <c r="H144" s="95">
        <v>0</v>
      </c>
      <c r="I144" s="53">
        <f>IF(A144&gt;'Immobilien-Kalkulation'!$B$70*12,0,MAX(0,D144-G144-J144))</f>
        <v>231191.24200803187</v>
      </c>
      <c r="J144" s="53">
        <f>IF(OR(A144&gt;'Immobilien-Kalkulation'!$B$70*12,D144&lt;=0),0,MIN(H144,MAX(0,D144-G144)))</f>
        <v>0</v>
      </c>
    </row>
    <row r="145" spans="1:10" x14ac:dyDescent="0.25">
      <c r="A145">
        <v>142</v>
      </c>
      <c r="B145">
        <f t="shared" si="2"/>
        <v>12</v>
      </c>
      <c r="C145" s="28">
        <f>IF(A145&gt;'Immobilien-Kalkulation'!$B$70*12,0,IF(AND('Immobilien-Kalkulation'!$B$72=1,B145&gt;'Immobilien-Kalkulation'!$B$69),'Immobilien-Kalkulation'!$B$73,'Immobilien-Kalkulation'!$B$65))</f>
        <v>3.5000000000000003E-2</v>
      </c>
      <c r="D145" s="53">
        <f>IF(A145&gt;'Immobilien-Kalkulation'!$B$70*12,0,I144)</f>
        <v>231191.24200803187</v>
      </c>
      <c r="E145" s="53">
        <f>IF(OR(A145&gt;'Immobilien-Kalkulation'!$B$70*12,D145&lt;=0),0,IF(AND('Immobilien-Kalkulation'!$B$72=1,B145&gt;'Immobilien-Kalkulation'!$B$69),MIN(D145*C145/12+'Immobilien-Kalkulation'!$B$74/12,D145*(1+C145/12)),MIN('Immobilien-Kalkulation'!$B$67,D145*(1+C145/12))))</f>
        <v>1429.9603560928113</v>
      </c>
      <c r="F145" s="53">
        <f>IF(OR(A145&gt;'Immobilien-Kalkulation'!$B$70*12,D145&lt;=0),0,D145*C145/12)</f>
        <v>674.30778919009299</v>
      </c>
      <c r="G145" s="53">
        <f>IF(OR(A145&gt;'Immobilien-Kalkulation'!$B$70*12,D145&lt;=0),0,MAX(0,MIN(D145,E145-F145)))</f>
        <v>755.65256690271826</v>
      </c>
      <c r="H145" s="95">
        <v>0</v>
      </c>
      <c r="I145" s="53">
        <f>IF(A145&gt;'Immobilien-Kalkulation'!$B$70*12,0,MAX(0,D145-G145-J145))</f>
        <v>230435.58944112915</v>
      </c>
      <c r="J145" s="53">
        <f>IF(OR(A145&gt;'Immobilien-Kalkulation'!$B$70*12,D145&lt;=0),0,MIN(H145,MAX(0,D145-G145)))</f>
        <v>0</v>
      </c>
    </row>
    <row r="146" spans="1:10" x14ac:dyDescent="0.25">
      <c r="A146">
        <v>143</v>
      </c>
      <c r="B146">
        <f t="shared" si="2"/>
        <v>12</v>
      </c>
      <c r="C146" s="28">
        <f>IF(A146&gt;'Immobilien-Kalkulation'!$B$70*12,0,IF(AND('Immobilien-Kalkulation'!$B$72=1,B146&gt;'Immobilien-Kalkulation'!$B$69),'Immobilien-Kalkulation'!$B$73,'Immobilien-Kalkulation'!$B$65))</f>
        <v>3.5000000000000003E-2</v>
      </c>
      <c r="D146" s="53">
        <f>IF(A146&gt;'Immobilien-Kalkulation'!$B$70*12,0,I145)</f>
        <v>230435.58944112915</v>
      </c>
      <c r="E146" s="53">
        <f>IF(OR(A146&gt;'Immobilien-Kalkulation'!$B$70*12,D146&lt;=0),0,IF(AND('Immobilien-Kalkulation'!$B$72=1,B146&gt;'Immobilien-Kalkulation'!$B$69),MIN(D146*C146/12+'Immobilien-Kalkulation'!$B$74/12,D146*(1+C146/12)),MIN('Immobilien-Kalkulation'!$B$67,D146*(1+C146/12))))</f>
        <v>1429.9603560928113</v>
      </c>
      <c r="F146" s="53">
        <f>IF(OR(A146&gt;'Immobilien-Kalkulation'!$B$70*12,D146&lt;=0),0,D146*C146/12)</f>
        <v>672.10380253662674</v>
      </c>
      <c r="G146" s="53">
        <f>IF(OR(A146&gt;'Immobilien-Kalkulation'!$B$70*12,D146&lt;=0),0,MAX(0,MIN(D146,E146-F146)))</f>
        <v>757.85655355618451</v>
      </c>
      <c r="H146" s="95">
        <v>0</v>
      </c>
      <c r="I146" s="53">
        <f>IF(A146&gt;'Immobilien-Kalkulation'!$B$70*12,0,MAX(0,D146-G146-J146))</f>
        <v>229677.73288757296</v>
      </c>
      <c r="J146" s="53">
        <f>IF(OR(A146&gt;'Immobilien-Kalkulation'!$B$70*12,D146&lt;=0),0,MIN(H146,MAX(0,D146-G146)))</f>
        <v>0</v>
      </c>
    </row>
    <row r="147" spans="1:10" x14ac:dyDescent="0.25">
      <c r="A147">
        <v>144</v>
      </c>
      <c r="B147">
        <f t="shared" si="2"/>
        <v>12</v>
      </c>
      <c r="C147" s="28">
        <f>IF(A147&gt;'Immobilien-Kalkulation'!$B$70*12,0,IF(AND('Immobilien-Kalkulation'!$B$72=1,B147&gt;'Immobilien-Kalkulation'!$B$69),'Immobilien-Kalkulation'!$B$73,'Immobilien-Kalkulation'!$B$65))</f>
        <v>3.5000000000000003E-2</v>
      </c>
      <c r="D147" s="53">
        <f>IF(A147&gt;'Immobilien-Kalkulation'!$B$70*12,0,I146)</f>
        <v>229677.73288757296</v>
      </c>
      <c r="E147" s="53">
        <f>IF(OR(A147&gt;'Immobilien-Kalkulation'!$B$70*12,D147&lt;=0),0,IF(AND('Immobilien-Kalkulation'!$B$72=1,B147&gt;'Immobilien-Kalkulation'!$B$69),MIN(D147*C147/12+'Immobilien-Kalkulation'!$B$74/12,D147*(1+C147/12)),MIN('Immobilien-Kalkulation'!$B$67,D147*(1+C147/12))))</f>
        <v>1429.9603560928113</v>
      </c>
      <c r="F147" s="53">
        <f>IF(OR(A147&gt;'Immobilien-Kalkulation'!$B$70*12,D147&lt;=0),0,D147*C147/12)</f>
        <v>669.89338758875454</v>
      </c>
      <c r="G147" s="53">
        <f>IF(OR(A147&gt;'Immobilien-Kalkulation'!$B$70*12,D147&lt;=0),0,MAX(0,MIN(D147,E147-F147)))</f>
        <v>760.06696850405672</v>
      </c>
      <c r="H147" s="95">
        <v>0</v>
      </c>
      <c r="I147" s="53">
        <f>IF(A147&gt;'Immobilien-Kalkulation'!$B$70*12,0,MAX(0,D147-G147-J147))</f>
        <v>228917.66591906891</v>
      </c>
      <c r="J147" s="53">
        <f>IF(OR(A147&gt;'Immobilien-Kalkulation'!$B$70*12,D147&lt;=0),0,MIN(H147,MAX(0,D147-G147)))</f>
        <v>0</v>
      </c>
    </row>
    <row r="148" spans="1:10" x14ac:dyDescent="0.25">
      <c r="A148">
        <v>145</v>
      </c>
      <c r="B148">
        <f t="shared" si="2"/>
        <v>13</v>
      </c>
      <c r="C148" s="28">
        <f>IF(A148&gt;'Immobilien-Kalkulation'!$B$70*12,0,IF(AND('Immobilien-Kalkulation'!$B$72=1,B148&gt;'Immobilien-Kalkulation'!$B$69),'Immobilien-Kalkulation'!$B$73,'Immobilien-Kalkulation'!$B$65))</f>
        <v>3.5000000000000003E-2</v>
      </c>
      <c r="D148" s="53">
        <f>IF(A148&gt;'Immobilien-Kalkulation'!$B$70*12,0,I147)</f>
        <v>228917.66591906891</v>
      </c>
      <c r="E148" s="53">
        <f>IF(OR(A148&gt;'Immobilien-Kalkulation'!$B$70*12,D148&lt;=0),0,IF(AND('Immobilien-Kalkulation'!$B$72=1,B148&gt;'Immobilien-Kalkulation'!$B$69),MIN(D148*C148/12+'Immobilien-Kalkulation'!$B$74/12,D148*(1+C148/12)),MIN('Immobilien-Kalkulation'!$B$67,D148*(1+C148/12))))</f>
        <v>1429.9603560928113</v>
      </c>
      <c r="F148" s="53">
        <f>IF(OR(A148&gt;'Immobilien-Kalkulation'!$B$70*12,D148&lt;=0),0,D148*C148/12)</f>
        <v>667.67652559728435</v>
      </c>
      <c r="G148" s="53">
        <f>IF(OR(A148&gt;'Immobilien-Kalkulation'!$B$70*12,D148&lt;=0),0,MAX(0,MIN(D148,E148-F148)))</f>
        <v>762.2838304955269</v>
      </c>
      <c r="H148" s="95">
        <v>0</v>
      </c>
      <c r="I148" s="53">
        <f>IF(A148&gt;'Immobilien-Kalkulation'!$B$70*12,0,MAX(0,D148-G148-J148))</f>
        <v>228155.38208857339</v>
      </c>
      <c r="J148" s="53">
        <f>IF(OR(A148&gt;'Immobilien-Kalkulation'!$B$70*12,D148&lt;=0),0,MIN(H148,MAX(0,D148-G148)))</f>
        <v>0</v>
      </c>
    </row>
    <row r="149" spans="1:10" x14ac:dyDescent="0.25">
      <c r="A149">
        <v>146</v>
      </c>
      <c r="B149">
        <f t="shared" si="2"/>
        <v>13</v>
      </c>
      <c r="C149" s="28">
        <f>IF(A149&gt;'Immobilien-Kalkulation'!$B$70*12,0,IF(AND('Immobilien-Kalkulation'!$B$72=1,B149&gt;'Immobilien-Kalkulation'!$B$69),'Immobilien-Kalkulation'!$B$73,'Immobilien-Kalkulation'!$B$65))</f>
        <v>3.5000000000000003E-2</v>
      </c>
      <c r="D149" s="53">
        <f>IF(A149&gt;'Immobilien-Kalkulation'!$B$70*12,0,I148)</f>
        <v>228155.38208857339</v>
      </c>
      <c r="E149" s="53">
        <f>IF(OR(A149&gt;'Immobilien-Kalkulation'!$B$70*12,D149&lt;=0),0,IF(AND('Immobilien-Kalkulation'!$B$72=1,B149&gt;'Immobilien-Kalkulation'!$B$69),MIN(D149*C149/12+'Immobilien-Kalkulation'!$B$74/12,D149*(1+C149/12)),MIN('Immobilien-Kalkulation'!$B$67,D149*(1+C149/12))))</f>
        <v>1429.9603560928113</v>
      </c>
      <c r="F149" s="53">
        <f>IF(OR(A149&gt;'Immobilien-Kalkulation'!$B$70*12,D149&lt;=0),0,D149*C149/12)</f>
        <v>665.45319775833912</v>
      </c>
      <c r="G149" s="53">
        <f>IF(OR(A149&gt;'Immobilien-Kalkulation'!$B$70*12,D149&lt;=0),0,MAX(0,MIN(D149,E149-F149)))</f>
        <v>764.50715833447214</v>
      </c>
      <c r="H149" s="95">
        <v>0</v>
      </c>
      <c r="I149" s="53">
        <f>IF(A149&gt;'Immobilien-Kalkulation'!$B$70*12,0,MAX(0,D149-G149-J149))</f>
        <v>227390.8749302389</v>
      </c>
      <c r="J149" s="53">
        <f>IF(OR(A149&gt;'Immobilien-Kalkulation'!$B$70*12,D149&lt;=0),0,MIN(H149,MAX(0,D149-G149)))</f>
        <v>0</v>
      </c>
    </row>
    <row r="150" spans="1:10" x14ac:dyDescent="0.25">
      <c r="A150">
        <v>147</v>
      </c>
      <c r="B150">
        <f t="shared" si="2"/>
        <v>13</v>
      </c>
      <c r="C150" s="28">
        <f>IF(A150&gt;'Immobilien-Kalkulation'!$B$70*12,0,IF(AND('Immobilien-Kalkulation'!$B$72=1,B150&gt;'Immobilien-Kalkulation'!$B$69),'Immobilien-Kalkulation'!$B$73,'Immobilien-Kalkulation'!$B$65))</f>
        <v>3.5000000000000003E-2</v>
      </c>
      <c r="D150" s="53">
        <f>IF(A150&gt;'Immobilien-Kalkulation'!$B$70*12,0,I149)</f>
        <v>227390.8749302389</v>
      </c>
      <c r="E150" s="53">
        <f>IF(OR(A150&gt;'Immobilien-Kalkulation'!$B$70*12,D150&lt;=0),0,IF(AND('Immobilien-Kalkulation'!$B$72=1,B150&gt;'Immobilien-Kalkulation'!$B$69),MIN(D150*C150/12+'Immobilien-Kalkulation'!$B$74/12,D150*(1+C150/12)),MIN('Immobilien-Kalkulation'!$B$67,D150*(1+C150/12))))</f>
        <v>1429.9603560928113</v>
      </c>
      <c r="F150" s="53">
        <f>IF(OR(A150&gt;'Immobilien-Kalkulation'!$B$70*12,D150&lt;=0),0,D150*C150/12)</f>
        <v>663.22338521319682</v>
      </c>
      <c r="G150" s="53">
        <f>IF(OR(A150&gt;'Immobilien-Kalkulation'!$B$70*12,D150&lt;=0),0,MAX(0,MIN(D150,E150-F150)))</f>
        <v>766.73697087961443</v>
      </c>
      <c r="H150" s="95">
        <v>0</v>
      </c>
      <c r="I150" s="53">
        <f>IF(A150&gt;'Immobilien-Kalkulation'!$B$70*12,0,MAX(0,D150-G150-J150))</f>
        <v>226624.1379593593</v>
      </c>
      <c r="J150" s="53">
        <f>IF(OR(A150&gt;'Immobilien-Kalkulation'!$B$70*12,D150&lt;=0),0,MIN(H150,MAX(0,D150-G150)))</f>
        <v>0</v>
      </c>
    </row>
    <row r="151" spans="1:10" x14ac:dyDescent="0.25">
      <c r="A151">
        <v>148</v>
      </c>
      <c r="B151">
        <f t="shared" si="2"/>
        <v>13</v>
      </c>
      <c r="C151" s="28">
        <f>IF(A151&gt;'Immobilien-Kalkulation'!$B$70*12,0,IF(AND('Immobilien-Kalkulation'!$B$72=1,B151&gt;'Immobilien-Kalkulation'!$B$69),'Immobilien-Kalkulation'!$B$73,'Immobilien-Kalkulation'!$B$65))</f>
        <v>3.5000000000000003E-2</v>
      </c>
      <c r="D151" s="53">
        <f>IF(A151&gt;'Immobilien-Kalkulation'!$B$70*12,0,I150)</f>
        <v>226624.1379593593</v>
      </c>
      <c r="E151" s="53">
        <f>IF(OR(A151&gt;'Immobilien-Kalkulation'!$B$70*12,D151&lt;=0),0,IF(AND('Immobilien-Kalkulation'!$B$72=1,B151&gt;'Immobilien-Kalkulation'!$B$69),MIN(D151*C151/12+'Immobilien-Kalkulation'!$B$74/12,D151*(1+C151/12)),MIN('Immobilien-Kalkulation'!$B$67,D151*(1+C151/12))))</f>
        <v>1429.9603560928113</v>
      </c>
      <c r="F151" s="53">
        <f>IF(OR(A151&gt;'Immobilien-Kalkulation'!$B$70*12,D151&lt;=0),0,D151*C151/12)</f>
        <v>660.98706904813139</v>
      </c>
      <c r="G151" s="53">
        <f>IF(OR(A151&gt;'Immobilien-Kalkulation'!$B$70*12,D151&lt;=0),0,MAX(0,MIN(D151,E151-F151)))</f>
        <v>768.97328704467986</v>
      </c>
      <c r="H151" s="95">
        <v>0</v>
      </c>
      <c r="I151" s="53">
        <f>IF(A151&gt;'Immobilien-Kalkulation'!$B$70*12,0,MAX(0,D151-G151-J151))</f>
        <v>225855.16467231463</v>
      </c>
      <c r="J151" s="53">
        <f>IF(OR(A151&gt;'Immobilien-Kalkulation'!$B$70*12,D151&lt;=0),0,MIN(H151,MAX(0,D151-G151)))</f>
        <v>0</v>
      </c>
    </row>
    <row r="152" spans="1:10" x14ac:dyDescent="0.25">
      <c r="A152">
        <v>149</v>
      </c>
      <c r="B152">
        <f t="shared" si="2"/>
        <v>13</v>
      </c>
      <c r="C152" s="28">
        <f>IF(A152&gt;'Immobilien-Kalkulation'!$B$70*12,0,IF(AND('Immobilien-Kalkulation'!$B$72=1,B152&gt;'Immobilien-Kalkulation'!$B$69),'Immobilien-Kalkulation'!$B$73,'Immobilien-Kalkulation'!$B$65))</f>
        <v>3.5000000000000003E-2</v>
      </c>
      <c r="D152" s="53">
        <f>IF(A152&gt;'Immobilien-Kalkulation'!$B$70*12,0,I151)</f>
        <v>225855.16467231463</v>
      </c>
      <c r="E152" s="53">
        <f>IF(OR(A152&gt;'Immobilien-Kalkulation'!$B$70*12,D152&lt;=0),0,IF(AND('Immobilien-Kalkulation'!$B$72=1,B152&gt;'Immobilien-Kalkulation'!$B$69),MIN(D152*C152/12+'Immobilien-Kalkulation'!$B$74/12,D152*(1+C152/12)),MIN('Immobilien-Kalkulation'!$B$67,D152*(1+C152/12))))</f>
        <v>1429.9603560928113</v>
      </c>
      <c r="F152" s="53">
        <f>IF(OR(A152&gt;'Immobilien-Kalkulation'!$B$70*12,D152&lt;=0),0,D152*C152/12)</f>
        <v>658.744230294251</v>
      </c>
      <c r="G152" s="53">
        <f>IF(OR(A152&gt;'Immobilien-Kalkulation'!$B$70*12,D152&lt;=0),0,MAX(0,MIN(D152,E152-F152)))</f>
        <v>771.21612579856026</v>
      </c>
      <c r="H152" s="95">
        <v>0</v>
      </c>
      <c r="I152" s="53">
        <f>IF(A152&gt;'Immobilien-Kalkulation'!$B$70*12,0,MAX(0,D152-G152-J152))</f>
        <v>225083.94854651607</v>
      </c>
      <c r="J152" s="53">
        <f>IF(OR(A152&gt;'Immobilien-Kalkulation'!$B$70*12,D152&lt;=0),0,MIN(H152,MAX(0,D152-G152)))</f>
        <v>0</v>
      </c>
    </row>
    <row r="153" spans="1:10" x14ac:dyDescent="0.25">
      <c r="A153">
        <v>150</v>
      </c>
      <c r="B153">
        <f t="shared" si="2"/>
        <v>13</v>
      </c>
      <c r="C153" s="28">
        <f>IF(A153&gt;'Immobilien-Kalkulation'!$B$70*12,0,IF(AND('Immobilien-Kalkulation'!$B$72=1,B153&gt;'Immobilien-Kalkulation'!$B$69),'Immobilien-Kalkulation'!$B$73,'Immobilien-Kalkulation'!$B$65))</f>
        <v>3.5000000000000003E-2</v>
      </c>
      <c r="D153" s="53">
        <f>IF(A153&gt;'Immobilien-Kalkulation'!$B$70*12,0,I152)</f>
        <v>225083.94854651607</v>
      </c>
      <c r="E153" s="53">
        <f>IF(OR(A153&gt;'Immobilien-Kalkulation'!$B$70*12,D153&lt;=0),0,IF(AND('Immobilien-Kalkulation'!$B$72=1,B153&gt;'Immobilien-Kalkulation'!$B$69),MIN(D153*C153/12+'Immobilien-Kalkulation'!$B$74/12,D153*(1+C153/12)),MIN('Immobilien-Kalkulation'!$B$67,D153*(1+C153/12))))</f>
        <v>1429.9603560928113</v>
      </c>
      <c r="F153" s="53">
        <f>IF(OR(A153&gt;'Immobilien-Kalkulation'!$B$70*12,D153&lt;=0),0,D153*C153/12)</f>
        <v>656.49484992733858</v>
      </c>
      <c r="G153" s="53">
        <f>IF(OR(A153&gt;'Immobilien-Kalkulation'!$B$70*12,D153&lt;=0),0,MAX(0,MIN(D153,E153-F153)))</f>
        <v>773.46550616547268</v>
      </c>
      <c r="H153" s="95">
        <v>0</v>
      </c>
      <c r="I153" s="53">
        <f>IF(A153&gt;'Immobilien-Kalkulation'!$B$70*12,0,MAX(0,D153-G153-J153))</f>
        <v>224310.48304035061</v>
      </c>
      <c r="J153" s="53">
        <f>IF(OR(A153&gt;'Immobilien-Kalkulation'!$B$70*12,D153&lt;=0),0,MIN(H153,MAX(0,D153-G153)))</f>
        <v>0</v>
      </c>
    </row>
    <row r="154" spans="1:10" x14ac:dyDescent="0.25">
      <c r="A154">
        <v>151</v>
      </c>
      <c r="B154">
        <f t="shared" si="2"/>
        <v>13</v>
      </c>
      <c r="C154" s="28">
        <f>IF(A154&gt;'Immobilien-Kalkulation'!$B$70*12,0,IF(AND('Immobilien-Kalkulation'!$B$72=1,B154&gt;'Immobilien-Kalkulation'!$B$69),'Immobilien-Kalkulation'!$B$73,'Immobilien-Kalkulation'!$B$65))</f>
        <v>3.5000000000000003E-2</v>
      </c>
      <c r="D154" s="53">
        <f>IF(A154&gt;'Immobilien-Kalkulation'!$B$70*12,0,I153)</f>
        <v>224310.48304035061</v>
      </c>
      <c r="E154" s="53">
        <f>IF(OR(A154&gt;'Immobilien-Kalkulation'!$B$70*12,D154&lt;=0),0,IF(AND('Immobilien-Kalkulation'!$B$72=1,B154&gt;'Immobilien-Kalkulation'!$B$69),MIN(D154*C154/12+'Immobilien-Kalkulation'!$B$74/12,D154*(1+C154/12)),MIN('Immobilien-Kalkulation'!$B$67,D154*(1+C154/12))))</f>
        <v>1429.9603560928113</v>
      </c>
      <c r="F154" s="53">
        <f>IF(OR(A154&gt;'Immobilien-Kalkulation'!$B$70*12,D154&lt;=0),0,D154*C154/12)</f>
        <v>654.23890886768936</v>
      </c>
      <c r="G154" s="53">
        <f>IF(OR(A154&gt;'Immobilien-Kalkulation'!$B$70*12,D154&lt;=0),0,MAX(0,MIN(D154,E154-F154)))</f>
        <v>775.72144722512189</v>
      </c>
      <c r="H154" s="95">
        <v>0</v>
      </c>
      <c r="I154" s="53">
        <f>IF(A154&gt;'Immobilien-Kalkulation'!$B$70*12,0,MAX(0,D154-G154-J154))</f>
        <v>223534.76159312547</v>
      </c>
      <c r="J154" s="53">
        <f>IF(OR(A154&gt;'Immobilien-Kalkulation'!$B$70*12,D154&lt;=0),0,MIN(H154,MAX(0,D154-G154)))</f>
        <v>0</v>
      </c>
    </row>
    <row r="155" spans="1:10" x14ac:dyDescent="0.25">
      <c r="A155">
        <v>152</v>
      </c>
      <c r="B155">
        <f t="shared" si="2"/>
        <v>13</v>
      </c>
      <c r="C155" s="28">
        <f>IF(A155&gt;'Immobilien-Kalkulation'!$B$70*12,0,IF(AND('Immobilien-Kalkulation'!$B$72=1,B155&gt;'Immobilien-Kalkulation'!$B$69),'Immobilien-Kalkulation'!$B$73,'Immobilien-Kalkulation'!$B$65))</f>
        <v>3.5000000000000003E-2</v>
      </c>
      <c r="D155" s="53">
        <f>IF(A155&gt;'Immobilien-Kalkulation'!$B$70*12,0,I154)</f>
        <v>223534.76159312547</v>
      </c>
      <c r="E155" s="53">
        <f>IF(OR(A155&gt;'Immobilien-Kalkulation'!$B$70*12,D155&lt;=0),0,IF(AND('Immobilien-Kalkulation'!$B$72=1,B155&gt;'Immobilien-Kalkulation'!$B$69),MIN(D155*C155/12+'Immobilien-Kalkulation'!$B$74/12,D155*(1+C155/12)),MIN('Immobilien-Kalkulation'!$B$67,D155*(1+C155/12))))</f>
        <v>1429.9603560928113</v>
      </c>
      <c r="F155" s="53">
        <f>IF(OR(A155&gt;'Immobilien-Kalkulation'!$B$70*12,D155&lt;=0),0,D155*C155/12)</f>
        <v>651.97638797994932</v>
      </c>
      <c r="G155" s="53">
        <f>IF(OR(A155&gt;'Immobilien-Kalkulation'!$B$70*12,D155&lt;=0),0,MAX(0,MIN(D155,E155-F155)))</f>
        <v>777.98396811286193</v>
      </c>
      <c r="H155" s="95">
        <v>0</v>
      </c>
      <c r="I155" s="53">
        <f>IF(A155&gt;'Immobilien-Kalkulation'!$B$70*12,0,MAX(0,D155-G155-J155))</f>
        <v>222756.77762501262</v>
      </c>
      <c r="J155" s="53">
        <f>IF(OR(A155&gt;'Immobilien-Kalkulation'!$B$70*12,D155&lt;=0),0,MIN(H155,MAX(0,D155-G155)))</f>
        <v>0</v>
      </c>
    </row>
    <row r="156" spans="1:10" x14ac:dyDescent="0.25">
      <c r="A156">
        <v>153</v>
      </c>
      <c r="B156">
        <f t="shared" si="2"/>
        <v>13</v>
      </c>
      <c r="C156" s="28">
        <f>IF(A156&gt;'Immobilien-Kalkulation'!$B$70*12,0,IF(AND('Immobilien-Kalkulation'!$B$72=1,B156&gt;'Immobilien-Kalkulation'!$B$69),'Immobilien-Kalkulation'!$B$73,'Immobilien-Kalkulation'!$B$65))</f>
        <v>3.5000000000000003E-2</v>
      </c>
      <c r="D156" s="53">
        <f>IF(A156&gt;'Immobilien-Kalkulation'!$B$70*12,0,I155)</f>
        <v>222756.77762501262</v>
      </c>
      <c r="E156" s="53">
        <f>IF(OR(A156&gt;'Immobilien-Kalkulation'!$B$70*12,D156&lt;=0),0,IF(AND('Immobilien-Kalkulation'!$B$72=1,B156&gt;'Immobilien-Kalkulation'!$B$69),MIN(D156*C156/12+'Immobilien-Kalkulation'!$B$74/12,D156*(1+C156/12)),MIN('Immobilien-Kalkulation'!$B$67,D156*(1+C156/12))))</f>
        <v>1429.9603560928113</v>
      </c>
      <c r="F156" s="53">
        <f>IF(OR(A156&gt;'Immobilien-Kalkulation'!$B$70*12,D156&lt;=0),0,D156*C156/12)</f>
        <v>649.70726807295353</v>
      </c>
      <c r="G156" s="53">
        <f>IF(OR(A156&gt;'Immobilien-Kalkulation'!$B$70*12,D156&lt;=0),0,MAX(0,MIN(D156,E156-F156)))</f>
        <v>780.25308801985773</v>
      </c>
      <c r="H156" s="95">
        <v>0</v>
      </c>
      <c r="I156" s="53">
        <f>IF(A156&gt;'Immobilien-Kalkulation'!$B$70*12,0,MAX(0,D156-G156-J156))</f>
        <v>221976.52453699277</v>
      </c>
      <c r="J156" s="53">
        <f>IF(OR(A156&gt;'Immobilien-Kalkulation'!$B$70*12,D156&lt;=0),0,MIN(H156,MAX(0,D156-G156)))</f>
        <v>0</v>
      </c>
    </row>
    <row r="157" spans="1:10" x14ac:dyDescent="0.25">
      <c r="A157">
        <v>154</v>
      </c>
      <c r="B157">
        <f t="shared" si="2"/>
        <v>13</v>
      </c>
      <c r="C157" s="28">
        <f>IF(A157&gt;'Immobilien-Kalkulation'!$B$70*12,0,IF(AND('Immobilien-Kalkulation'!$B$72=1,B157&gt;'Immobilien-Kalkulation'!$B$69),'Immobilien-Kalkulation'!$B$73,'Immobilien-Kalkulation'!$B$65))</f>
        <v>3.5000000000000003E-2</v>
      </c>
      <c r="D157" s="53">
        <f>IF(A157&gt;'Immobilien-Kalkulation'!$B$70*12,0,I156)</f>
        <v>221976.52453699277</v>
      </c>
      <c r="E157" s="53">
        <f>IF(OR(A157&gt;'Immobilien-Kalkulation'!$B$70*12,D157&lt;=0),0,IF(AND('Immobilien-Kalkulation'!$B$72=1,B157&gt;'Immobilien-Kalkulation'!$B$69),MIN(D157*C157/12+'Immobilien-Kalkulation'!$B$74/12,D157*(1+C157/12)),MIN('Immobilien-Kalkulation'!$B$67,D157*(1+C157/12))))</f>
        <v>1429.9603560928113</v>
      </c>
      <c r="F157" s="53">
        <f>IF(OR(A157&gt;'Immobilien-Kalkulation'!$B$70*12,D157&lt;=0),0,D157*C157/12)</f>
        <v>647.43152989956229</v>
      </c>
      <c r="G157" s="53">
        <f>IF(OR(A157&gt;'Immobilien-Kalkulation'!$B$70*12,D157&lt;=0),0,MAX(0,MIN(D157,E157-F157)))</f>
        <v>782.52882619324896</v>
      </c>
      <c r="H157" s="95">
        <v>0</v>
      </c>
      <c r="I157" s="53">
        <f>IF(A157&gt;'Immobilien-Kalkulation'!$B$70*12,0,MAX(0,D157-G157-J157))</f>
        <v>221193.99571079953</v>
      </c>
      <c r="J157" s="53">
        <f>IF(OR(A157&gt;'Immobilien-Kalkulation'!$B$70*12,D157&lt;=0),0,MIN(H157,MAX(0,D157-G157)))</f>
        <v>0</v>
      </c>
    </row>
    <row r="158" spans="1:10" x14ac:dyDescent="0.25">
      <c r="A158">
        <v>155</v>
      </c>
      <c r="B158">
        <f t="shared" si="2"/>
        <v>13</v>
      </c>
      <c r="C158" s="28">
        <f>IF(A158&gt;'Immobilien-Kalkulation'!$B$70*12,0,IF(AND('Immobilien-Kalkulation'!$B$72=1,B158&gt;'Immobilien-Kalkulation'!$B$69),'Immobilien-Kalkulation'!$B$73,'Immobilien-Kalkulation'!$B$65))</f>
        <v>3.5000000000000003E-2</v>
      </c>
      <c r="D158" s="53">
        <f>IF(A158&gt;'Immobilien-Kalkulation'!$B$70*12,0,I157)</f>
        <v>221193.99571079953</v>
      </c>
      <c r="E158" s="53">
        <f>IF(OR(A158&gt;'Immobilien-Kalkulation'!$B$70*12,D158&lt;=0),0,IF(AND('Immobilien-Kalkulation'!$B$72=1,B158&gt;'Immobilien-Kalkulation'!$B$69),MIN(D158*C158/12+'Immobilien-Kalkulation'!$B$74/12,D158*(1+C158/12)),MIN('Immobilien-Kalkulation'!$B$67,D158*(1+C158/12))))</f>
        <v>1429.9603560928113</v>
      </c>
      <c r="F158" s="53">
        <f>IF(OR(A158&gt;'Immobilien-Kalkulation'!$B$70*12,D158&lt;=0),0,D158*C158/12)</f>
        <v>645.14915415649864</v>
      </c>
      <c r="G158" s="53">
        <f>IF(OR(A158&gt;'Immobilien-Kalkulation'!$B$70*12,D158&lt;=0),0,MAX(0,MIN(D158,E158-F158)))</f>
        <v>784.81120193631261</v>
      </c>
      <c r="H158" s="95">
        <v>0</v>
      </c>
      <c r="I158" s="53">
        <f>IF(A158&gt;'Immobilien-Kalkulation'!$B$70*12,0,MAX(0,D158-G158-J158))</f>
        <v>220409.18450886323</v>
      </c>
      <c r="J158" s="53">
        <f>IF(OR(A158&gt;'Immobilien-Kalkulation'!$B$70*12,D158&lt;=0),0,MIN(H158,MAX(0,D158-G158)))</f>
        <v>0</v>
      </c>
    </row>
    <row r="159" spans="1:10" x14ac:dyDescent="0.25">
      <c r="A159">
        <v>156</v>
      </c>
      <c r="B159">
        <f t="shared" si="2"/>
        <v>13</v>
      </c>
      <c r="C159" s="28">
        <f>IF(A159&gt;'Immobilien-Kalkulation'!$B$70*12,0,IF(AND('Immobilien-Kalkulation'!$B$72=1,B159&gt;'Immobilien-Kalkulation'!$B$69),'Immobilien-Kalkulation'!$B$73,'Immobilien-Kalkulation'!$B$65))</f>
        <v>3.5000000000000003E-2</v>
      </c>
      <c r="D159" s="53">
        <f>IF(A159&gt;'Immobilien-Kalkulation'!$B$70*12,0,I158)</f>
        <v>220409.18450886323</v>
      </c>
      <c r="E159" s="53">
        <f>IF(OR(A159&gt;'Immobilien-Kalkulation'!$B$70*12,D159&lt;=0),0,IF(AND('Immobilien-Kalkulation'!$B$72=1,B159&gt;'Immobilien-Kalkulation'!$B$69),MIN(D159*C159/12+'Immobilien-Kalkulation'!$B$74/12,D159*(1+C159/12)),MIN('Immobilien-Kalkulation'!$B$67,D159*(1+C159/12))))</f>
        <v>1429.9603560928113</v>
      </c>
      <c r="F159" s="53">
        <f>IF(OR(A159&gt;'Immobilien-Kalkulation'!$B$70*12,D159&lt;=0),0,D159*C159/12)</f>
        <v>642.86012148418445</v>
      </c>
      <c r="G159" s="53">
        <f>IF(OR(A159&gt;'Immobilien-Kalkulation'!$B$70*12,D159&lt;=0),0,MAX(0,MIN(D159,E159-F159)))</f>
        <v>787.10023460862681</v>
      </c>
      <c r="H159" s="95">
        <v>0</v>
      </c>
      <c r="I159" s="53">
        <f>IF(A159&gt;'Immobilien-Kalkulation'!$B$70*12,0,MAX(0,D159-G159-J159))</f>
        <v>219622.08427425459</v>
      </c>
      <c r="J159" s="53">
        <f>IF(OR(A159&gt;'Immobilien-Kalkulation'!$B$70*12,D159&lt;=0),0,MIN(H159,MAX(0,D159-G159)))</f>
        <v>0</v>
      </c>
    </row>
    <row r="160" spans="1:10" x14ac:dyDescent="0.25">
      <c r="A160">
        <v>157</v>
      </c>
      <c r="B160">
        <f t="shared" si="2"/>
        <v>14</v>
      </c>
      <c r="C160" s="28">
        <f>IF(A160&gt;'Immobilien-Kalkulation'!$B$70*12,0,IF(AND('Immobilien-Kalkulation'!$B$72=1,B160&gt;'Immobilien-Kalkulation'!$B$69),'Immobilien-Kalkulation'!$B$73,'Immobilien-Kalkulation'!$B$65))</f>
        <v>3.5000000000000003E-2</v>
      </c>
      <c r="D160" s="53">
        <f>IF(A160&gt;'Immobilien-Kalkulation'!$B$70*12,0,I159)</f>
        <v>219622.08427425459</v>
      </c>
      <c r="E160" s="53">
        <f>IF(OR(A160&gt;'Immobilien-Kalkulation'!$B$70*12,D160&lt;=0),0,IF(AND('Immobilien-Kalkulation'!$B$72=1,B160&gt;'Immobilien-Kalkulation'!$B$69),MIN(D160*C160/12+'Immobilien-Kalkulation'!$B$74/12,D160*(1+C160/12)),MIN('Immobilien-Kalkulation'!$B$67,D160*(1+C160/12))))</f>
        <v>1429.9603560928113</v>
      </c>
      <c r="F160" s="53">
        <f>IF(OR(A160&gt;'Immobilien-Kalkulation'!$B$70*12,D160&lt;=0),0,D160*C160/12)</f>
        <v>640.56441246657596</v>
      </c>
      <c r="G160" s="53">
        <f>IF(OR(A160&gt;'Immobilien-Kalkulation'!$B$70*12,D160&lt;=0),0,MAX(0,MIN(D160,E160-F160)))</f>
        <v>789.39594362623529</v>
      </c>
      <c r="H160" s="95">
        <v>0</v>
      </c>
      <c r="I160" s="53">
        <f>IF(A160&gt;'Immobilien-Kalkulation'!$B$70*12,0,MAX(0,D160-G160-J160))</f>
        <v>218832.68833062836</v>
      </c>
      <c r="J160" s="53">
        <f>IF(OR(A160&gt;'Immobilien-Kalkulation'!$B$70*12,D160&lt;=0),0,MIN(H160,MAX(0,D160-G160)))</f>
        <v>0</v>
      </c>
    </row>
    <row r="161" spans="1:10" x14ac:dyDescent="0.25">
      <c r="A161">
        <v>158</v>
      </c>
      <c r="B161">
        <f t="shared" si="2"/>
        <v>14</v>
      </c>
      <c r="C161" s="28">
        <f>IF(A161&gt;'Immobilien-Kalkulation'!$B$70*12,0,IF(AND('Immobilien-Kalkulation'!$B$72=1,B161&gt;'Immobilien-Kalkulation'!$B$69),'Immobilien-Kalkulation'!$B$73,'Immobilien-Kalkulation'!$B$65))</f>
        <v>3.5000000000000003E-2</v>
      </c>
      <c r="D161" s="53">
        <f>IF(A161&gt;'Immobilien-Kalkulation'!$B$70*12,0,I160)</f>
        <v>218832.68833062836</v>
      </c>
      <c r="E161" s="53">
        <f>IF(OR(A161&gt;'Immobilien-Kalkulation'!$B$70*12,D161&lt;=0),0,IF(AND('Immobilien-Kalkulation'!$B$72=1,B161&gt;'Immobilien-Kalkulation'!$B$69),MIN(D161*C161/12+'Immobilien-Kalkulation'!$B$74/12,D161*(1+C161/12)),MIN('Immobilien-Kalkulation'!$B$67,D161*(1+C161/12))))</f>
        <v>1429.9603560928113</v>
      </c>
      <c r="F161" s="53">
        <f>IF(OR(A161&gt;'Immobilien-Kalkulation'!$B$70*12,D161&lt;=0),0,D161*C161/12)</f>
        <v>638.26200763099939</v>
      </c>
      <c r="G161" s="53">
        <f>IF(OR(A161&gt;'Immobilien-Kalkulation'!$B$70*12,D161&lt;=0),0,MAX(0,MIN(D161,E161-F161)))</f>
        <v>791.69834846181186</v>
      </c>
      <c r="H161" s="95">
        <v>0</v>
      </c>
      <c r="I161" s="53">
        <f>IF(A161&gt;'Immobilien-Kalkulation'!$B$70*12,0,MAX(0,D161-G161-J161))</f>
        <v>218040.98998216653</v>
      </c>
      <c r="J161" s="53">
        <f>IF(OR(A161&gt;'Immobilien-Kalkulation'!$B$70*12,D161&lt;=0),0,MIN(H161,MAX(0,D161-G161)))</f>
        <v>0</v>
      </c>
    </row>
    <row r="162" spans="1:10" x14ac:dyDescent="0.25">
      <c r="A162">
        <v>159</v>
      </c>
      <c r="B162">
        <f t="shared" si="2"/>
        <v>14</v>
      </c>
      <c r="C162" s="28">
        <f>IF(A162&gt;'Immobilien-Kalkulation'!$B$70*12,0,IF(AND('Immobilien-Kalkulation'!$B$72=1,B162&gt;'Immobilien-Kalkulation'!$B$69),'Immobilien-Kalkulation'!$B$73,'Immobilien-Kalkulation'!$B$65))</f>
        <v>3.5000000000000003E-2</v>
      </c>
      <c r="D162" s="53">
        <f>IF(A162&gt;'Immobilien-Kalkulation'!$B$70*12,0,I161)</f>
        <v>218040.98998216653</v>
      </c>
      <c r="E162" s="53">
        <f>IF(OR(A162&gt;'Immobilien-Kalkulation'!$B$70*12,D162&lt;=0),0,IF(AND('Immobilien-Kalkulation'!$B$72=1,B162&gt;'Immobilien-Kalkulation'!$B$69),MIN(D162*C162/12+'Immobilien-Kalkulation'!$B$74/12,D162*(1+C162/12)),MIN('Immobilien-Kalkulation'!$B$67,D162*(1+C162/12))))</f>
        <v>1429.9603560928113</v>
      </c>
      <c r="F162" s="53">
        <f>IF(OR(A162&gt;'Immobilien-Kalkulation'!$B$70*12,D162&lt;=0),0,D162*C162/12)</f>
        <v>635.95288744798574</v>
      </c>
      <c r="G162" s="53">
        <f>IF(OR(A162&gt;'Immobilien-Kalkulation'!$B$70*12,D162&lt;=0),0,MAX(0,MIN(D162,E162-F162)))</f>
        <v>794.00746864482551</v>
      </c>
      <c r="H162" s="95">
        <v>0</v>
      </c>
      <c r="I162" s="53">
        <f>IF(A162&gt;'Immobilien-Kalkulation'!$B$70*12,0,MAX(0,D162-G162-J162))</f>
        <v>217246.98251352171</v>
      </c>
      <c r="J162" s="53">
        <f>IF(OR(A162&gt;'Immobilien-Kalkulation'!$B$70*12,D162&lt;=0),0,MIN(H162,MAX(0,D162-G162)))</f>
        <v>0</v>
      </c>
    </row>
    <row r="163" spans="1:10" x14ac:dyDescent="0.25">
      <c r="A163">
        <v>160</v>
      </c>
      <c r="B163">
        <f t="shared" si="2"/>
        <v>14</v>
      </c>
      <c r="C163" s="28">
        <f>IF(A163&gt;'Immobilien-Kalkulation'!$B$70*12,0,IF(AND('Immobilien-Kalkulation'!$B$72=1,B163&gt;'Immobilien-Kalkulation'!$B$69),'Immobilien-Kalkulation'!$B$73,'Immobilien-Kalkulation'!$B$65))</f>
        <v>3.5000000000000003E-2</v>
      </c>
      <c r="D163" s="53">
        <f>IF(A163&gt;'Immobilien-Kalkulation'!$B$70*12,0,I162)</f>
        <v>217246.98251352171</v>
      </c>
      <c r="E163" s="53">
        <f>IF(OR(A163&gt;'Immobilien-Kalkulation'!$B$70*12,D163&lt;=0),0,IF(AND('Immobilien-Kalkulation'!$B$72=1,B163&gt;'Immobilien-Kalkulation'!$B$69),MIN(D163*C163/12+'Immobilien-Kalkulation'!$B$74/12,D163*(1+C163/12)),MIN('Immobilien-Kalkulation'!$B$67,D163*(1+C163/12))))</f>
        <v>1429.9603560928113</v>
      </c>
      <c r="F163" s="53">
        <f>IF(OR(A163&gt;'Immobilien-Kalkulation'!$B$70*12,D163&lt;=0),0,D163*C163/12)</f>
        <v>633.63703233110505</v>
      </c>
      <c r="G163" s="53">
        <f>IF(OR(A163&gt;'Immobilien-Kalkulation'!$B$70*12,D163&lt;=0),0,MAX(0,MIN(D163,E163-F163)))</f>
        <v>796.32332376170621</v>
      </c>
      <c r="H163" s="95">
        <v>0</v>
      </c>
      <c r="I163" s="53">
        <f>IF(A163&gt;'Immobilien-Kalkulation'!$B$70*12,0,MAX(0,D163-G163-J163))</f>
        <v>216450.65918976002</v>
      </c>
      <c r="J163" s="53">
        <f>IF(OR(A163&gt;'Immobilien-Kalkulation'!$B$70*12,D163&lt;=0),0,MIN(H163,MAX(0,D163-G163)))</f>
        <v>0</v>
      </c>
    </row>
    <row r="164" spans="1:10" x14ac:dyDescent="0.25">
      <c r="A164">
        <v>161</v>
      </c>
      <c r="B164">
        <f t="shared" si="2"/>
        <v>14</v>
      </c>
      <c r="C164" s="28">
        <f>IF(A164&gt;'Immobilien-Kalkulation'!$B$70*12,0,IF(AND('Immobilien-Kalkulation'!$B$72=1,B164&gt;'Immobilien-Kalkulation'!$B$69),'Immobilien-Kalkulation'!$B$73,'Immobilien-Kalkulation'!$B$65))</f>
        <v>3.5000000000000003E-2</v>
      </c>
      <c r="D164" s="53">
        <f>IF(A164&gt;'Immobilien-Kalkulation'!$B$70*12,0,I163)</f>
        <v>216450.65918976002</v>
      </c>
      <c r="E164" s="53">
        <f>IF(OR(A164&gt;'Immobilien-Kalkulation'!$B$70*12,D164&lt;=0),0,IF(AND('Immobilien-Kalkulation'!$B$72=1,B164&gt;'Immobilien-Kalkulation'!$B$69),MIN(D164*C164/12+'Immobilien-Kalkulation'!$B$74/12,D164*(1+C164/12)),MIN('Immobilien-Kalkulation'!$B$67,D164*(1+C164/12))))</f>
        <v>1429.9603560928113</v>
      </c>
      <c r="F164" s="53">
        <f>IF(OR(A164&gt;'Immobilien-Kalkulation'!$B$70*12,D164&lt;=0),0,D164*C164/12)</f>
        <v>631.31442263680003</v>
      </c>
      <c r="G164" s="53">
        <f>IF(OR(A164&gt;'Immobilien-Kalkulation'!$B$70*12,D164&lt;=0),0,MAX(0,MIN(D164,E164-F164)))</f>
        <v>798.64593345601122</v>
      </c>
      <c r="H164" s="95">
        <v>0</v>
      </c>
      <c r="I164" s="53">
        <f>IF(A164&gt;'Immobilien-Kalkulation'!$B$70*12,0,MAX(0,D164-G164-J164))</f>
        <v>215652.013256304</v>
      </c>
      <c r="J164" s="53">
        <f>IF(OR(A164&gt;'Immobilien-Kalkulation'!$B$70*12,D164&lt;=0),0,MIN(H164,MAX(0,D164-G164)))</f>
        <v>0</v>
      </c>
    </row>
    <row r="165" spans="1:10" x14ac:dyDescent="0.25">
      <c r="A165">
        <v>162</v>
      </c>
      <c r="B165">
        <f t="shared" si="2"/>
        <v>14</v>
      </c>
      <c r="C165" s="28">
        <f>IF(A165&gt;'Immobilien-Kalkulation'!$B$70*12,0,IF(AND('Immobilien-Kalkulation'!$B$72=1,B165&gt;'Immobilien-Kalkulation'!$B$69),'Immobilien-Kalkulation'!$B$73,'Immobilien-Kalkulation'!$B$65))</f>
        <v>3.5000000000000003E-2</v>
      </c>
      <c r="D165" s="53">
        <f>IF(A165&gt;'Immobilien-Kalkulation'!$B$70*12,0,I164)</f>
        <v>215652.013256304</v>
      </c>
      <c r="E165" s="53">
        <f>IF(OR(A165&gt;'Immobilien-Kalkulation'!$B$70*12,D165&lt;=0),0,IF(AND('Immobilien-Kalkulation'!$B$72=1,B165&gt;'Immobilien-Kalkulation'!$B$69),MIN(D165*C165/12+'Immobilien-Kalkulation'!$B$74/12,D165*(1+C165/12)),MIN('Immobilien-Kalkulation'!$B$67,D165*(1+C165/12))))</f>
        <v>1429.9603560928113</v>
      </c>
      <c r="F165" s="53">
        <f>IF(OR(A165&gt;'Immobilien-Kalkulation'!$B$70*12,D165&lt;=0),0,D165*C165/12)</f>
        <v>628.98503866422004</v>
      </c>
      <c r="G165" s="53">
        <f>IF(OR(A165&gt;'Immobilien-Kalkulation'!$B$70*12,D165&lt;=0),0,MAX(0,MIN(D165,E165-F165)))</f>
        <v>800.97531742859121</v>
      </c>
      <c r="H165" s="95">
        <v>0</v>
      </c>
      <c r="I165" s="53">
        <f>IF(A165&gt;'Immobilien-Kalkulation'!$B$70*12,0,MAX(0,D165-G165-J165))</f>
        <v>214851.03793887541</v>
      </c>
      <c r="J165" s="53">
        <f>IF(OR(A165&gt;'Immobilien-Kalkulation'!$B$70*12,D165&lt;=0),0,MIN(H165,MAX(0,D165-G165)))</f>
        <v>0</v>
      </c>
    </row>
    <row r="166" spans="1:10" x14ac:dyDescent="0.25">
      <c r="A166">
        <v>163</v>
      </c>
      <c r="B166">
        <f t="shared" si="2"/>
        <v>14</v>
      </c>
      <c r="C166" s="28">
        <f>IF(A166&gt;'Immobilien-Kalkulation'!$B$70*12,0,IF(AND('Immobilien-Kalkulation'!$B$72=1,B166&gt;'Immobilien-Kalkulation'!$B$69),'Immobilien-Kalkulation'!$B$73,'Immobilien-Kalkulation'!$B$65))</f>
        <v>3.5000000000000003E-2</v>
      </c>
      <c r="D166" s="53">
        <f>IF(A166&gt;'Immobilien-Kalkulation'!$B$70*12,0,I165)</f>
        <v>214851.03793887541</v>
      </c>
      <c r="E166" s="53">
        <f>IF(OR(A166&gt;'Immobilien-Kalkulation'!$B$70*12,D166&lt;=0),0,IF(AND('Immobilien-Kalkulation'!$B$72=1,B166&gt;'Immobilien-Kalkulation'!$B$69),MIN(D166*C166/12+'Immobilien-Kalkulation'!$B$74/12,D166*(1+C166/12)),MIN('Immobilien-Kalkulation'!$B$67,D166*(1+C166/12))))</f>
        <v>1429.9603560928113</v>
      </c>
      <c r="F166" s="53">
        <f>IF(OR(A166&gt;'Immobilien-Kalkulation'!$B$70*12,D166&lt;=0),0,D166*C166/12)</f>
        <v>626.64886065505334</v>
      </c>
      <c r="G166" s="53">
        <f>IF(OR(A166&gt;'Immobilien-Kalkulation'!$B$70*12,D166&lt;=0),0,MAX(0,MIN(D166,E166-F166)))</f>
        <v>803.31149543775791</v>
      </c>
      <c r="H166" s="95">
        <v>0</v>
      </c>
      <c r="I166" s="53">
        <f>IF(A166&gt;'Immobilien-Kalkulation'!$B$70*12,0,MAX(0,D166-G166-J166))</f>
        <v>214047.72644343766</v>
      </c>
      <c r="J166" s="53">
        <f>IF(OR(A166&gt;'Immobilien-Kalkulation'!$B$70*12,D166&lt;=0),0,MIN(H166,MAX(0,D166-G166)))</f>
        <v>0</v>
      </c>
    </row>
    <row r="167" spans="1:10" x14ac:dyDescent="0.25">
      <c r="A167">
        <v>164</v>
      </c>
      <c r="B167">
        <f t="shared" si="2"/>
        <v>14</v>
      </c>
      <c r="C167" s="28">
        <f>IF(A167&gt;'Immobilien-Kalkulation'!$B$70*12,0,IF(AND('Immobilien-Kalkulation'!$B$72=1,B167&gt;'Immobilien-Kalkulation'!$B$69),'Immobilien-Kalkulation'!$B$73,'Immobilien-Kalkulation'!$B$65))</f>
        <v>3.5000000000000003E-2</v>
      </c>
      <c r="D167" s="53">
        <f>IF(A167&gt;'Immobilien-Kalkulation'!$B$70*12,0,I166)</f>
        <v>214047.72644343766</v>
      </c>
      <c r="E167" s="53">
        <f>IF(OR(A167&gt;'Immobilien-Kalkulation'!$B$70*12,D167&lt;=0),0,IF(AND('Immobilien-Kalkulation'!$B$72=1,B167&gt;'Immobilien-Kalkulation'!$B$69),MIN(D167*C167/12+'Immobilien-Kalkulation'!$B$74/12,D167*(1+C167/12)),MIN('Immobilien-Kalkulation'!$B$67,D167*(1+C167/12))))</f>
        <v>1429.9603560928113</v>
      </c>
      <c r="F167" s="53">
        <f>IF(OR(A167&gt;'Immobilien-Kalkulation'!$B$70*12,D167&lt;=0),0,D167*C167/12)</f>
        <v>624.30586879335988</v>
      </c>
      <c r="G167" s="53">
        <f>IF(OR(A167&gt;'Immobilien-Kalkulation'!$B$70*12,D167&lt;=0),0,MAX(0,MIN(D167,E167-F167)))</f>
        <v>805.65448729945138</v>
      </c>
      <c r="H167" s="95">
        <v>0</v>
      </c>
      <c r="I167" s="53">
        <f>IF(A167&gt;'Immobilien-Kalkulation'!$B$70*12,0,MAX(0,D167-G167-J167))</f>
        <v>213242.07195613821</v>
      </c>
      <c r="J167" s="53">
        <f>IF(OR(A167&gt;'Immobilien-Kalkulation'!$B$70*12,D167&lt;=0),0,MIN(H167,MAX(0,D167-G167)))</f>
        <v>0</v>
      </c>
    </row>
    <row r="168" spans="1:10" x14ac:dyDescent="0.25">
      <c r="A168">
        <v>165</v>
      </c>
      <c r="B168">
        <f t="shared" si="2"/>
        <v>14</v>
      </c>
      <c r="C168" s="28">
        <f>IF(A168&gt;'Immobilien-Kalkulation'!$B$70*12,0,IF(AND('Immobilien-Kalkulation'!$B$72=1,B168&gt;'Immobilien-Kalkulation'!$B$69),'Immobilien-Kalkulation'!$B$73,'Immobilien-Kalkulation'!$B$65))</f>
        <v>3.5000000000000003E-2</v>
      </c>
      <c r="D168" s="53">
        <f>IF(A168&gt;'Immobilien-Kalkulation'!$B$70*12,0,I167)</f>
        <v>213242.07195613821</v>
      </c>
      <c r="E168" s="53">
        <f>IF(OR(A168&gt;'Immobilien-Kalkulation'!$B$70*12,D168&lt;=0),0,IF(AND('Immobilien-Kalkulation'!$B$72=1,B168&gt;'Immobilien-Kalkulation'!$B$69),MIN(D168*C168/12+'Immobilien-Kalkulation'!$B$74/12,D168*(1+C168/12)),MIN('Immobilien-Kalkulation'!$B$67,D168*(1+C168/12))))</f>
        <v>1429.9603560928113</v>
      </c>
      <c r="F168" s="53">
        <f>IF(OR(A168&gt;'Immobilien-Kalkulation'!$B$70*12,D168&lt;=0),0,D168*C168/12)</f>
        <v>621.95604320540315</v>
      </c>
      <c r="G168" s="53">
        <f>IF(OR(A168&gt;'Immobilien-Kalkulation'!$B$70*12,D168&lt;=0),0,MAX(0,MIN(D168,E168-F168)))</f>
        <v>808.0043128874081</v>
      </c>
      <c r="H168" s="95">
        <v>0</v>
      </c>
      <c r="I168" s="53">
        <f>IF(A168&gt;'Immobilien-Kalkulation'!$B$70*12,0,MAX(0,D168-G168-J168))</f>
        <v>212434.0676432508</v>
      </c>
      <c r="J168" s="53">
        <f>IF(OR(A168&gt;'Immobilien-Kalkulation'!$B$70*12,D168&lt;=0),0,MIN(H168,MAX(0,D168-G168)))</f>
        <v>0</v>
      </c>
    </row>
    <row r="169" spans="1:10" x14ac:dyDescent="0.25">
      <c r="A169">
        <v>166</v>
      </c>
      <c r="B169">
        <f t="shared" si="2"/>
        <v>14</v>
      </c>
      <c r="C169" s="28">
        <f>IF(A169&gt;'Immobilien-Kalkulation'!$B$70*12,0,IF(AND('Immobilien-Kalkulation'!$B$72=1,B169&gt;'Immobilien-Kalkulation'!$B$69),'Immobilien-Kalkulation'!$B$73,'Immobilien-Kalkulation'!$B$65))</f>
        <v>3.5000000000000003E-2</v>
      </c>
      <c r="D169" s="53">
        <f>IF(A169&gt;'Immobilien-Kalkulation'!$B$70*12,0,I168)</f>
        <v>212434.0676432508</v>
      </c>
      <c r="E169" s="53">
        <f>IF(OR(A169&gt;'Immobilien-Kalkulation'!$B$70*12,D169&lt;=0),0,IF(AND('Immobilien-Kalkulation'!$B$72=1,B169&gt;'Immobilien-Kalkulation'!$B$69),MIN(D169*C169/12+'Immobilien-Kalkulation'!$B$74/12,D169*(1+C169/12)),MIN('Immobilien-Kalkulation'!$B$67,D169*(1+C169/12))))</f>
        <v>1429.9603560928113</v>
      </c>
      <c r="F169" s="53">
        <f>IF(OR(A169&gt;'Immobilien-Kalkulation'!$B$70*12,D169&lt;=0),0,D169*C169/12)</f>
        <v>619.59936395948159</v>
      </c>
      <c r="G169" s="53">
        <f>IF(OR(A169&gt;'Immobilien-Kalkulation'!$B$70*12,D169&lt;=0),0,MAX(0,MIN(D169,E169-F169)))</f>
        <v>810.36099213332966</v>
      </c>
      <c r="H169" s="95">
        <v>0</v>
      </c>
      <c r="I169" s="53">
        <f>IF(A169&gt;'Immobilien-Kalkulation'!$B$70*12,0,MAX(0,D169-G169-J169))</f>
        <v>211623.70665111748</v>
      </c>
      <c r="J169" s="53">
        <f>IF(OR(A169&gt;'Immobilien-Kalkulation'!$B$70*12,D169&lt;=0),0,MIN(H169,MAX(0,D169-G169)))</f>
        <v>0</v>
      </c>
    </row>
    <row r="170" spans="1:10" x14ac:dyDescent="0.25">
      <c r="A170">
        <v>167</v>
      </c>
      <c r="B170">
        <f t="shared" si="2"/>
        <v>14</v>
      </c>
      <c r="C170" s="28">
        <f>IF(A170&gt;'Immobilien-Kalkulation'!$B$70*12,0,IF(AND('Immobilien-Kalkulation'!$B$72=1,B170&gt;'Immobilien-Kalkulation'!$B$69),'Immobilien-Kalkulation'!$B$73,'Immobilien-Kalkulation'!$B$65))</f>
        <v>3.5000000000000003E-2</v>
      </c>
      <c r="D170" s="53">
        <f>IF(A170&gt;'Immobilien-Kalkulation'!$B$70*12,0,I169)</f>
        <v>211623.70665111748</v>
      </c>
      <c r="E170" s="53">
        <f>IF(OR(A170&gt;'Immobilien-Kalkulation'!$B$70*12,D170&lt;=0),0,IF(AND('Immobilien-Kalkulation'!$B$72=1,B170&gt;'Immobilien-Kalkulation'!$B$69),MIN(D170*C170/12+'Immobilien-Kalkulation'!$B$74/12,D170*(1+C170/12)),MIN('Immobilien-Kalkulation'!$B$67,D170*(1+C170/12))))</f>
        <v>1429.9603560928113</v>
      </c>
      <c r="F170" s="53">
        <f>IF(OR(A170&gt;'Immobilien-Kalkulation'!$B$70*12,D170&lt;=0),0,D170*C170/12)</f>
        <v>617.23581106575932</v>
      </c>
      <c r="G170" s="53">
        <f>IF(OR(A170&gt;'Immobilien-Kalkulation'!$B$70*12,D170&lt;=0),0,MAX(0,MIN(D170,E170-F170)))</f>
        <v>812.72454502705193</v>
      </c>
      <c r="H170" s="95">
        <v>0</v>
      </c>
      <c r="I170" s="53">
        <f>IF(A170&gt;'Immobilien-Kalkulation'!$B$70*12,0,MAX(0,D170-G170-J170))</f>
        <v>210810.98210609044</v>
      </c>
      <c r="J170" s="53">
        <f>IF(OR(A170&gt;'Immobilien-Kalkulation'!$B$70*12,D170&lt;=0),0,MIN(H170,MAX(0,D170-G170)))</f>
        <v>0</v>
      </c>
    </row>
    <row r="171" spans="1:10" x14ac:dyDescent="0.25">
      <c r="A171">
        <v>168</v>
      </c>
      <c r="B171">
        <f t="shared" si="2"/>
        <v>14</v>
      </c>
      <c r="C171" s="28">
        <f>IF(A171&gt;'Immobilien-Kalkulation'!$B$70*12,0,IF(AND('Immobilien-Kalkulation'!$B$72=1,B171&gt;'Immobilien-Kalkulation'!$B$69),'Immobilien-Kalkulation'!$B$73,'Immobilien-Kalkulation'!$B$65))</f>
        <v>3.5000000000000003E-2</v>
      </c>
      <c r="D171" s="53">
        <f>IF(A171&gt;'Immobilien-Kalkulation'!$B$70*12,0,I170)</f>
        <v>210810.98210609044</v>
      </c>
      <c r="E171" s="53">
        <f>IF(OR(A171&gt;'Immobilien-Kalkulation'!$B$70*12,D171&lt;=0),0,IF(AND('Immobilien-Kalkulation'!$B$72=1,B171&gt;'Immobilien-Kalkulation'!$B$69),MIN(D171*C171/12+'Immobilien-Kalkulation'!$B$74/12,D171*(1+C171/12)),MIN('Immobilien-Kalkulation'!$B$67,D171*(1+C171/12))))</f>
        <v>1429.9603560928113</v>
      </c>
      <c r="F171" s="53">
        <f>IF(OR(A171&gt;'Immobilien-Kalkulation'!$B$70*12,D171&lt;=0),0,D171*C171/12)</f>
        <v>614.86536447609717</v>
      </c>
      <c r="G171" s="53">
        <f>IF(OR(A171&gt;'Immobilien-Kalkulation'!$B$70*12,D171&lt;=0),0,MAX(0,MIN(D171,E171-F171)))</f>
        <v>815.09499161671408</v>
      </c>
      <c r="H171" s="95">
        <v>0</v>
      </c>
      <c r="I171" s="53">
        <f>IF(A171&gt;'Immobilien-Kalkulation'!$B$70*12,0,MAX(0,D171-G171-J171))</f>
        <v>209995.88711447373</v>
      </c>
      <c r="J171" s="53">
        <f>IF(OR(A171&gt;'Immobilien-Kalkulation'!$B$70*12,D171&lt;=0),0,MIN(H171,MAX(0,D171-G171)))</f>
        <v>0</v>
      </c>
    </row>
    <row r="172" spans="1:10" x14ac:dyDescent="0.25">
      <c r="A172">
        <v>169</v>
      </c>
      <c r="B172">
        <f t="shared" si="2"/>
        <v>15</v>
      </c>
      <c r="C172" s="28">
        <f>IF(A172&gt;'Immobilien-Kalkulation'!$B$70*12,0,IF(AND('Immobilien-Kalkulation'!$B$72=1,B172&gt;'Immobilien-Kalkulation'!$B$69),'Immobilien-Kalkulation'!$B$73,'Immobilien-Kalkulation'!$B$65))</f>
        <v>3.5000000000000003E-2</v>
      </c>
      <c r="D172" s="53">
        <f>IF(A172&gt;'Immobilien-Kalkulation'!$B$70*12,0,I171)</f>
        <v>209995.88711447373</v>
      </c>
      <c r="E172" s="53">
        <f>IF(OR(A172&gt;'Immobilien-Kalkulation'!$B$70*12,D172&lt;=0),0,IF(AND('Immobilien-Kalkulation'!$B$72=1,B172&gt;'Immobilien-Kalkulation'!$B$69),MIN(D172*C172/12+'Immobilien-Kalkulation'!$B$74/12,D172*(1+C172/12)),MIN('Immobilien-Kalkulation'!$B$67,D172*(1+C172/12))))</f>
        <v>1429.9603560928113</v>
      </c>
      <c r="F172" s="53">
        <f>IF(OR(A172&gt;'Immobilien-Kalkulation'!$B$70*12,D172&lt;=0),0,D172*C172/12)</f>
        <v>612.48800408388172</v>
      </c>
      <c r="G172" s="53">
        <f>IF(OR(A172&gt;'Immobilien-Kalkulation'!$B$70*12,D172&lt;=0),0,MAX(0,MIN(D172,E172-F172)))</f>
        <v>817.47235200892953</v>
      </c>
      <c r="H172" s="95">
        <v>0</v>
      </c>
      <c r="I172" s="53">
        <f>IF(A172&gt;'Immobilien-Kalkulation'!$B$70*12,0,MAX(0,D172-G172-J172))</f>
        <v>209178.41476246482</v>
      </c>
      <c r="J172" s="53">
        <f>IF(OR(A172&gt;'Immobilien-Kalkulation'!$B$70*12,D172&lt;=0),0,MIN(H172,MAX(0,D172-G172)))</f>
        <v>0</v>
      </c>
    </row>
    <row r="173" spans="1:10" x14ac:dyDescent="0.25">
      <c r="A173">
        <v>170</v>
      </c>
      <c r="B173">
        <f t="shared" si="2"/>
        <v>15</v>
      </c>
      <c r="C173" s="28">
        <f>IF(A173&gt;'Immobilien-Kalkulation'!$B$70*12,0,IF(AND('Immobilien-Kalkulation'!$B$72=1,B173&gt;'Immobilien-Kalkulation'!$B$69),'Immobilien-Kalkulation'!$B$73,'Immobilien-Kalkulation'!$B$65))</f>
        <v>3.5000000000000003E-2</v>
      </c>
      <c r="D173" s="53">
        <f>IF(A173&gt;'Immobilien-Kalkulation'!$B$70*12,0,I172)</f>
        <v>209178.41476246482</v>
      </c>
      <c r="E173" s="53">
        <f>IF(OR(A173&gt;'Immobilien-Kalkulation'!$B$70*12,D173&lt;=0),0,IF(AND('Immobilien-Kalkulation'!$B$72=1,B173&gt;'Immobilien-Kalkulation'!$B$69),MIN(D173*C173/12+'Immobilien-Kalkulation'!$B$74/12,D173*(1+C173/12)),MIN('Immobilien-Kalkulation'!$B$67,D173*(1+C173/12))))</f>
        <v>1429.9603560928113</v>
      </c>
      <c r="F173" s="53">
        <f>IF(OR(A173&gt;'Immobilien-Kalkulation'!$B$70*12,D173&lt;=0),0,D173*C173/12)</f>
        <v>610.10370972385579</v>
      </c>
      <c r="G173" s="53">
        <f>IF(OR(A173&gt;'Immobilien-Kalkulation'!$B$70*12,D173&lt;=0),0,MAX(0,MIN(D173,E173-F173)))</f>
        <v>819.85664636895547</v>
      </c>
      <c r="H173" s="95">
        <v>0</v>
      </c>
      <c r="I173" s="53">
        <f>IF(A173&gt;'Immobilien-Kalkulation'!$B$70*12,0,MAX(0,D173-G173-J173))</f>
        <v>208358.55811609587</v>
      </c>
      <c r="J173" s="53">
        <f>IF(OR(A173&gt;'Immobilien-Kalkulation'!$B$70*12,D173&lt;=0),0,MIN(H173,MAX(0,D173-G173)))</f>
        <v>0</v>
      </c>
    </row>
    <row r="174" spans="1:10" x14ac:dyDescent="0.25">
      <c r="A174">
        <v>171</v>
      </c>
      <c r="B174">
        <f t="shared" si="2"/>
        <v>15</v>
      </c>
      <c r="C174" s="28">
        <f>IF(A174&gt;'Immobilien-Kalkulation'!$B$70*12,0,IF(AND('Immobilien-Kalkulation'!$B$72=1,B174&gt;'Immobilien-Kalkulation'!$B$69),'Immobilien-Kalkulation'!$B$73,'Immobilien-Kalkulation'!$B$65))</f>
        <v>3.5000000000000003E-2</v>
      </c>
      <c r="D174" s="53">
        <f>IF(A174&gt;'Immobilien-Kalkulation'!$B$70*12,0,I173)</f>
        <v>208358.55811609587</v>
      </c>
      <c r="E174" s="53">
        <f>IF(OR(A174&gt;'Immobilien-Kalkulation'!$B$70*12,D174&lt;=0),0,IF(AND('Immobilien-Kalkulation'!$B$72=1,B174&gt;'Immobilien-Kalkulation'!$B$69),MIN(D174*C174/12+'Immobilien-Kalkulation'!$B$74/12,D174*(1+C174/12)),MIN('Immobilien-Kalkulation'!$B$67,D174*(1+C174/12))))</f>
        <v>1429.9603560928113</v>
      </c>
      <c r="F174" s="53">
        <f>IF(OR(A174&gt;'Immobilien-Kalkulation'!$B$70*12,D174&lt;=0),0,D174*C174/12)</f>
        <v>607.7124611719463</v>
      </c>
      <c r="G174" s="53">
        <f>IF(OR(A174&gt;'Immobilien-Kalkulation'!$B$70*12,D174&lt;=0),0,MAX(0,MIN(D174,E174-F174)))</f>
        <v>822.24789492086495</v>
      </c>
      <c r="H174" s="95">
        <v>0</v>
      </c>
      <c r="I174" s="53">
        <f>IF(A174&gt;'Immobilien-Kalkulation'!$B$70*12,0,MAX(0,D174-G174-J174))</f>
        <v>207536.31022117499</v>
      </c>
      <c r="J174" s="53">
        <f>IF(OR(A174&gt;'Immobilien-Kalkulation'!$B$70*12,D174&lt;=0),0,MIN(H174,MAX(0,D174-G174)))</f>
        <v>0</v>
      </c>
    </row>
    <row r="175" spans="1:10" x14ac:dyDescent="0.25">
      <c r="A175">
        <v>172</v>
      </c>
      <c r="B175">
        <f t="shared" si="2"/>
        <v>15</v>
      </c>
      <c r="C175" s="28">
        <f>IF(A175&gt;'Immobilien-Kalkulation'!$B$70*12,0,IF(AND('Immobilien-Kalkulation'!$B$72=1,B175&gt;'Immobilien-Kalkulation'!$B$69),'Immobilien-Kalkulation'!$B$73,'Immobilien-Kalkulation'!$B$65))</f>
        <v>3.5000000000000003E-2</v>
      </c>
      <c r="D175" s="53">
        <f>IF(A175&gt;'Immobilien-Kalkulation'!$B$70*12,0,I174)</f>
        <v>207536.31022117499</v>
      </c>
      <c r="E175" s="53">
        <f>IF(OR(A175&gt;'Immobilien-Kalkulation'!$B$70*12,D175&lt;=0),0,IF(AND('Immobilien-Kalkulation'!$B$72=1,B175&gt;'Immobilien-Kalkulation'!$B$69),MIN(D175*C175/12+'Immobilien-Kalkulation'!$B$74/12,D175*(1+C175/12)),MIN('Immobilien-Kalkulation'!$B$67,D175*(1+C175/12))))</f>
        <v>1429.9603560928113</v>
      </c>
      <c r="F175" s="53">
        <f>IF(OR(A175&gt;'Immobilien-Kalkulation'!$B$70*12,D175&lt;=0),0,D175*C175/12)</f>
        <v>605.31423814509378</v>
      </c>
      <c r="G175" s="53">
        <f>IF(OR(A175&gt;'Immobilien-Kalkulation'!$B$70*12,D175&lt;=0),0,MAX(0,MIN(D175,E175-F175)))</f>
        <v>824.64611794771747</v>
      </c>
      <c r="H175" s="95">
        <v>0</v>
      </c>
      <c r="I175" s="53">
        <f>IF(A175&gt;'Immobilien-Kalkulation'!$B$70*12,0,MAX(0,D175-G175-J175))</f>
        <v>206711.66410322729</v>
      </c>
      <c r="J175" s="53">
        <f>IF(OR(A175&gt;'Immobilien-Kalkulation'!$B$70*12,D175&lt;=0),0,MIN(H175,MAX(0,D175-G175)))</f>
        <v>0</v>
      </c>
    </row>
    <row r="176" spans="1:10" x14ac:dyDescent="0.25">
      <c r="A176">
        <v>173</v>
      </c>
      <c r="B176">
        <f t="shared" si="2"/>
        <v>15</v>
      </c>
      <c r="C176" s="28">
        <f>IF(A176&gt;'Immobilien-Kalkulation'!$B$70*12,0,IF(AND('Immobilien-Kalkulation'!$B$72=1,B176&gt;'Immobilien-Kalkulation'!$B$69),'Immobilien-Kalkulation'!$B$73,'Immobilien-Kalkulation'!$B$65))</f>
        <v>3.5000000000000003E-2</v>
      </c>
      <c r="D176" s="53">
        <f>IF(A176&gt;'Immobilien-Kalkulation'!$B$70*12,0,I175)</f>
        <v>206711.66410322729</v>
      </c>
      <c r="E176" s="53">
        <f>IF(OR(A176&gt;'Immobilien-Kalkulation'!$B$70*12,D176&lt;=0),0,IF(AND('Immobilien-Kalkulation'!$B$72=1,B176&gt;'Immobilien-Kalkulation'!$B$69),MIN(D176*C176/12+'Immobilien-Kalkulation'!$B$74/12,D176*(1+C176/12)),MIN('Immobilien-Kalkulation'!$B$67,D176*(1+C176/12))))</f>
        <v>1429.9603560928113</v>
      </c>
      <c r="F176" s="53">
        <f>IF(OR(A176&gt;'Immobilien-Kalkulation'!$B$70*12,D176&lt;=0),0,D176*C176/12)</f>
        <v>602.90902030107964</v>
      </c>
      <c r="G176" s="53">
        <f>IF(OR(A176&gt;'Immobilien-Kalkulation'!$B$70*12,D176&lt;=0),0,MAX(0,MIN(D176,E176-F176)))</f>
        <v>827.05133579173162</v>
      </c>
      <c r="H176" s="95">
        <v>0</v>
      </c>
      <c r="I176" s="53">
        <f>IF(A176&gt;'Immobilien-Kalkulation'!$B$70*12,0,MAX(0,D176-G176-J176))</f>
        <v>205884.61276743555</v>
      </c>
      <c r="J176" s="53">
        <f>IF(OR(A176&gt;'Immobilien-Kalkulation'!$B$70*12,D176&lt;=0),0,MIN(H176,MAX(0,D176-G176)))</f>
        <v>0</v>
      </c>
    </row>
    <row r="177" spans="1:10" x14ac:dyDescent="0.25">
      <c r="A177">
        <v>174</v>
      </c>
      <c r="B177">
        <f t="shared" si="2"/>
        <v>15</v>
      </c>
      <c r="C177" s="28">
        <f>IF(A177&gt;'Immobilien-Kalkulation'!$B$70*12,0,IF(AND('Immobilien-Kalkulation'!$B$72=1,B177&gt;'Immobilien-Kalkulation'!$B$69),'Immobilien-Kalkulation'!$B$73,'Immobilien-Kalkulation'!$B$65))</f>
        <v>3.5000000000000003E-2</v>
      </c>
      <c r="D177" s="53">
        <f>IF(A177&gt;'Immobilien-Kalkulation'!$B$70*12,0,I176)</f>
        <v>205884.61276743555</v>
      </c>
      <c r="E177" s="53">
        <f>IF(OR(A177&gt;'Immobilien-Kalkulation'!$B$70*12,D177&lt;=0),0,IF(AND('Immobilien-Kalkulation'!$B$72=1,B177&gt;'Immobilien-Kalkulation'!$B$69),MIN(D177*C177/12+'Immobilien-Kalkulation'!$B$74/12,D177*(1+C177/12)),MIN('Immobilien-Kalkulation'!$B$67,D177*(1+C177/12))))</f>
        <v>1429.9603560928113</v>
      </c>
      <c r="F177" s="53">
        <f>IF(OR(A177&gt;'Immobilien-Kalkulation'!$B$70*12,D177&lt;=0),0,D177*C177/12)</f>
        <v>600.4967872383537</v>
      </c>
      <c r="G177" s="53">
        <f>IF(OR(A177&gt;'Immobilien-Kalkulation'!$B$70*12,D177&lt;=0),0,MAX(0,MIN(D177,E177-F177)))</f>
        <v>829.46356885445755</v>
      </c>
      <c r="H177" s="95">
        <v>0</v>
      </c>
      <c r="I177" s="53">
        <f>IF(A177&gt;'Immobilien-Kalkulation'!$B$70*12,0,MAX(0,D177-G177-J177))</f>
        <v>205055.14919858109</v>
      </c>
      <c r="J177" s="53">
        <f>IF(OR(A177&gt;'Immobilien-Kalkulation'!$B$70*12,D177&lt;=0),0,MIN(H177,MAX(0,D177-G177)))</f>
        <v>0</v>
      </c>
    </row>
    <row r="178" spans="1:10" x14ac:dyDescent="0.25">
      <c r="A178">
        <v>175</v>
      </c>
      <c r="B178">
        <f t="shared" si="2"/>
        <v>15</v>
      </c>
      <c r="C178" s="28">
        <f>IF(A178&gt;'Immobilien-Kalkulation'!$B$70*12,0,IF(AND('Immobilien-Kalkulation'!$B$72=1,B178&gt;'Immobilien-Kalkulation'!$B$69),'Immobilien-Kalkulation'!$B$73,'Immobilien-Kalkulation'!$B$65))</f>
        <v>3.5000000000000003E-2</v>
      </c>
      <c r="D178" s="53">
        <f>IF(A178&gt;'Immobilien-Kalkulation'!$B$70*12,0,I177)</f>
        <v>205055.14919858109</v>
      </c>
      <c r="E178" s="53">
        <f>IF(OR(A178&gt;'Immobilien-Kalkulation'!$B$70*12,D178&lt;=0),0,IF(AND('Immobilien-Kalkulation'!$B$72=1,B178&gt;'Immobilien-Kalkulation'!$B$69),MIN(D178*C178/12+'Immobilien-Kalkulation'!$B$74/12,D178*(1+C178/12)),MIN('Immobilien-Kalkulation'!$B$67,D178*(1+C178/12))))</f>
        <v>1429.9603560928113</v>
      </c>
      <c r="F178" s="53">
        <f>IF(OR(A178&gt;'Immobilien-Kalkulation'!$B$70*12,D178&lt;=0),0,D178*C178/12)</f>
        <v>598.07751849586157</v>
      </c>
      <c r="G178" s="53">
        <f>IF(OR(A178&gt;'Immobilien-Kalkulation'!$B$70*12,D178&lt;=0),0,MAX(0,MIN(D178,E178-F178)))</f>
        <v>831.88283759694968</v>
      </c>
      <c r="H178" s="95">
        <v>0</v>
      </c>
      <c r="I178" s="53">
        <f>IF(A178&gt;'Immobilien-Kalkulation'!$B$70*12,0,MAX(0,D178-G178-J178))</f>
        <v>204223.26636098413</v>
      </c>
      <c r="J178" s="53">
        <f>IF(OR(A178&gt;'Immobilien-Kalkulation'!$B$70*12,D178&lt;=0),0,MIN(H178,MAX(0,D178-G178)))</f>
        <v>0</v>
      </c>
    </row>
    <row r="179" spans="1:10" x14ac:dyDescent="0.25">
      <c r="A179">
        <v>176</v>
      </c>
      <c r="B179">
        <f t="shared" si="2"/>
        <v>15</v>
      </c>
      <c r="C179" s="28">
        <f>IF(A179&gt;'Immobilien-Kalkulation'!$B$70*12,0,IF(AND('Immobilien-Kalkulation'!$B$72=1,B179&gt;'Immobilien-Kalkulation'!$B$69),'Immobilien-Kalkulation'!$B$73,'Immobilien-Kalkulation'!$B$65))</f>
        <v>3.5000000000000003E-2</v>
      </c>
      <c r="D179" s="53">
        <f>IF(A179&gt;'Immobilien-Kalkulation'!$B$70*12,0,I178)</f>
        <v>204223.26636098413</v>
      </c>
      <c r="E179" s="53">
        <f>IF(OR(A179&gt;'Immobilien-Kalkulation'!$B$70*12,D179&lt;=0),0,IF(AND('Immobilien-Kalkulation'!$B$72=1,B179&gt;'Immobilien-Kalkulation'!$B$69),MIN(D179*C179/12+'Immobilien-Kalkulation'!$B$74/12,D179*(1+C179/12)),MIN('Immobilien-Kalkulation'!$B$67,D179*(1+C179/12))))</f>
        <v>1429.9603560928113</v>
      </c>
      <c r="F179" s="53">
        <f>IF(OR(A179&gt;'Immobilien-Kalkulation'!$B$70*12,D179&lt;=0),0,D179*C179/12)</f>
        <v>595.6511935528705</v>
      </c>
      <c r="G179" s="53">
        <f>IF(OR(A179&gt;'Immobilien-Kalkulation'!$B$70*12,D179&lt;=0),0,MAX(0,MIN(D179,E179-F179)))</f>
        <v>834.30916253994076</v>
      </c>
      <c r="H179" s="95">
        <v>0</v>
      </c>
      <c r="I179" s="53">
        <f>IF(A179&gt;'Immobilien-Kalkulation'!$B$70*12,0,MAX(0,D179-G179-J179))</f>
        <v>203388.95719844417</v>
      </c>
      <c r="J179" s="53">
        <f>IF(OR(A179&gt;'Immobilien-Kalkulation'!$B$70*12,D179&lt;=0),0,MIN(H179,MAX(0,D179-G179)))</f>
        <v>0</v>
      </c>
    </row>
    <row r="180" spans="1:10" x14ac:dyDescent="0.25">
      <c r="A180">
        <v>177</v>
      </c>
      <c r="B180">
        <f t="shared" si="2"/>
        <v>15</v>
      </c>
      <c r="C180" s="28">
        <f>IF(A180&gt;'Immobilien-Kalkulation'!$B$70*12,0,IF(AND('Immobilien-Kalkulation'!$B$72=1,B180&gt;'Immobilien-Kalkulation'!$B$69),'Immobilien-Kalkulation'!$B$73,'Immobilien-Kalkulation'!$B$65))</f>
        <v>3.5000000000000003E-2</v>
      </c>
      <c r="D180" s="53">
        <f>IF(A180&gt;'Immobilien-Kalkulation'!$B$70*12,0,I179)</f>
        <v>203388.95719844417</v>
      </c>
      <c r="E180" s="53">
        <f>IF(OR(A180&gt;'Immobilien-Kalkulation'!$B$70*12,D180&lt;=0),0,IF(AND('Immobilien-Kalkulation'!$B$72=1,B180&gt;'Immobilien-Kalkulation'!$B$69),MIN(D180*C180/12+'Immobilien-Kalkulation'!$B$74/12,D180*(1+C180/12)),MIN('Immobilien-Kalkulation'!$B$67,D180*(1+C180/12))))</f>
        <v>1429.9603560928113</v>
      </c>
      <c r="F180" s="53">
        <f>IF(OR(A180&gt;'Immobilien-Kalkulation'!$B$70*12,D180&lt;=0),0,D180*C180/12)</f>
        <v>593.21779182879561</v>
      </c>
      <c r="G180" s="53">
        <f>IF(OR(A180&gt;'Immobilien-Kalkulation'!$B$70*12,D180&lt;=0),0,MAX(0,MIN(D180,E180-F180)))</f>
        <v>836.74256426401564</v>
      </c>
      <c r="H180" s="95">
        <v>0</v>
      </c>
      <c r="I180" s="53">
        <f>IF(A180&gt;'Immobilien-Kalkulation'!$B$70*12,0,MAX(0,D180-G180-J180))</f>
        <v>202552.21463418016</v>
      </c>
      <c r="J180" s="53">
        <f>IF(OR(A180&gt;'Immobilien-Kalkulation'!$B$70*12,D180&lt;=0),0,MIN(H180,MAX(0,D180-G180)))</f>
        <v>0</v>
      </c>
    </row>
    <row r="181" spans="1:10" x14ac:dyDescent="0.25">
      <c r="A181">
        <v>178</v>
      </c>
      <c r="B181">
        <f t="shared" si="2"/>
        <v>15</v>
      </c>
      <c r="C181" s="28">
        <f>IF(A181&gt;'Immobilien-Kalkulation'!$B$70*12,0,IF(AND('Immobilien-Kalkulation'!$B$72=1,B181&gt;'Immobilien-Kalkulation'!$B$69),'Immobilien-Kalkulation'!$B$73,'Immobilien-Kalkulation'!$B$65))</f>
        <v>3.5000000000000003E-2</v>
      </c>
      <c r="D181" s="53">
        <f>IF(A181&gt;'Immobilien-Kalkulation'!$B$70*12,0,I180)</f>
        <v>202552.21463418016</v>
      </c>
      <c r="E181" s="53">
        <f>IF(OR(A181&gt;'Immobilien-Kalkulation'!$B$70*12,D181&lt;=0),0,IF(AND('Immobilien-Kalkulation'!$B$72=1,B181&gt;'Immobilien-Kalkulation'!$B$69),MIN(D181*C181/12+'Immobilien-Kalkulation'!$B$74/12,D181*(1+C181/12)),MIN('Immobilien-Kalkulation'!$B$67,D181*(1+C181/12))))</f>
        <v>1429.9603560928113</v>
      </c>
      <c r="F181" s="53">
        <f>IF(OR(A181&gt;'Immobilien-Kalkulation'!$B$70*12,D181&lt;=0),0,D181*C181/12)</f>
        <v>590.77729268302551</v>
      </c>
      <c r="G181" s="53">
        <f>IF(OR(A181&gt;'Immobilien-Kalkulation'!$B$70*12,D181&lt;=0),0,MAX(0,MIN(D181,E181-F181)))</f>
        <v>839.18306340978575</v>
      </c>
      <c r="H181" s="95">
        <v>0</v>
      </c>
      <c r="I181" s="53">
        <f>IF(A181&gt;'Immobilien-Kalkulation'!$B$70*12,0,MAX(0,D181-G181-J181))</f>
        <v>201713.03157077037</v>
      </c>
      <c r="J181" s="53">
        <f>IF(OR(A181&gt;'Immobilien-Kalkulation'!$B$70*12,D181&lt;=0),0,MIN(H181,MAX(0,D181-G181)))</f>
        <v>0</v>
      </c>
    </row>
    <row r="182" spans="1:10" x14ac:dyDescent="0.25">
      <c r="A182">
        <v>179</v>
      </c>
      <c r="B182">
        <f t="shared" si="2"/>
        <v>15</v>
      </c>
      <c r="C182" s="28">
        <f>IF(A182&gt;'Immobilien-Kalkulation'!$B$70*12,0,IF(AND('Immobilien-Kalkulation'!$B$72=1,B182&gt;'Immobilien-Kalkulation'!$B$69),'Immobilien-Kalkulation'!$B$73,'Immobilien-Kalkulation'!$B$65))</f>
        <v>3.5000000000000003E-2</v>
      </c>
      <c r="D182" s="53">
        <f>IF(A182&gt;'Immobilien-Kalkulation'!$B$70*12,0,I181)</f>
        <v>201713.03157077037</v>
      </c>
      <c r="E182" s="53">
        <f>IF(OR(A182&gt;'Immobilien-Kalkulation'!$B$70*12,D182&lt;=0),0,IF(AND('Immobilien-Kalkulation'!$B$72=1,B182&gt;'Immobilien-Kalkulation'!$B$69),MIN(D182*C182/12+'Immobilien-Kalkulation'!$B$74/12,D182*(1+C182/12)),MIN('Immobilien-Kalkulation'!$B$67,D182*(1+C182/12))))</f>
        <v>1429.9603560928113</v>
      </c>
      <c r="F182" s="53">
        <f>IF(OR(A182&gt;'Immobilien-Kalkulation'!$B$70*12,D182&lt;=0),0,D182*C182/12)</f>
        <v>588.32967541474693</v>
      </c>
      <c r="G182" s="53">
        <f>IF(OR(A182&gt;'Immobilien-Kalkulation'!$B$70*12,D182&lt;=0),0,MAX(0,MIN(D182,E182-F182)))</f>
        <v>841.63068067806432</v>
      </c>
      <c r="H182" s="95">
        <v>0</v>
      </c>
      <c r="I182" s="53">
        <f>IF(A182&gt;'Immobilien-Kalkulation'!$B$70*12,0,MAX(0,D182-G182-J182))</f>
        <v>200871.40089009231</v>
      </c>
      <c r="J182" s="53">
        <f>IF(OR(A182&gt;'Immobilien-Kalkulation'!$B$70*12,D182&lt;=0),0,MIN(H182,MAX(0,D182-G182)))</f>
        <v>0</v>
      </c>
    </row>
    <row r="183" spans="1:10" x14ac:dyDescent="0.25">
      <c r="A183">
        <v>180</v>
      </c>
      <c r="B183">
        <f t="shared" si="2"/>
        <v>15</v>
      </c>
      <c r="C183" s="28">
        <f>IF(A183&gt;'Immobilien-Kalkulation'!$B$70*12,0,IF(AND('Immobilien-Kalkulation'!$B$72=1,B183&gt;'Immobilien-Kalkulation'!$B$69),'Immobilien-Kalkulation'!$B$73,'Immobilien-Kalkulation'!$B$65))</f>
        <v>3.5000000000000003E-2</v>
      </c>
      <c r="D183" s="53">
        <f>IF(A183&gt;'Immobilien-Kalkulation'!$B$70*12,0,I182)</f>
        <v>200871.40089009231</v>
      </c>
      <c r="E183" s="53">
        <f>IF(OR(A183&gt;'Immobilien-Kalkulation'!$B$70*12,D183&lt;=0),0,IF(AND('Immobilien-Kalkulation'!$B$72=1,B183&gt;'Immobilien-Kalkulation'!$B$69),MIN(D183*C183/12+'Immobilien-Kalkulation'!$B$74/12,D183*(1+C183/12)),MIN('Immobilien-Kalkulation'!$B$67,D183*(1+C183/12))))</f>
        <v>1429.9603560928113</v>
      </c>
      <c r="F183" s="53">
        <f>IF(OR(A183&gt;'Immobilien-Kalkulation'!$B$70*12,D183&lt;=0),0,D183*C183/12)</f>
        <v>585.87491926276925</v>
      </c>
      <c r="G183" s="53">
        <f>IF(OR(A183&gt;'Immobilien-Kalkulation'!$B$70*12,D183&lt;=0),0,MAX(0,MIN(D183,E183-F183)))</f>
        <v>844.085436830042</v>
      </c>
      <c r="H183" s="95">
        <v>0</v>
      </c>
      <c r="I183" s="53">
        <f>IF(A183&gt;'Immobilien-Kalkulation'!$B$70*12,0,MAX(0,D183-G183-J183))</f>
        <v>200027.31545326227</v>
      </c>
      <c r="J183" s="53">
        <f>IF(OR(A183&gt;'Immobilien-Kalkulation'!$B$70*12,D183&lt;=0),0,MIN(H183,MAX(0,D183-G183)))</f>
        <v>0</v>
      </c>
    </row>
    <row r="184" spans="1:10" x14ac:dyDescent="0.25">
      <c r="A184">
        <v>181</v>
      </c>
      <c r="B184">
        <f t="shared" si="2"/>
        <v>16</v>
      </c>
      <c r="C184" s="28">
        <f>IF(A184&gt;'Immobilien-Kalkulation'!$B$70*12,0,IF(AND('Immobilien-Kalkulation'!$B$72=1,B184&gt;'Immobilien-Kalkulation'!$B$69),'Immobilien-Kalkulation'!$B$73,'Immobilien-Kalkulation'!$B$65))</f>
        <v>3.5000000000000003E-2</v>
      </c>
      <c r="D184" s="53">
        <f>IF(A184&gt;'Immobilien-Kalkulation'!$B$70*12,0,I183)</f>
        <v>200027.31545326227</v>
      </c>
      <c r="E184" s="53">
        <f>IF(OR(A184&gt;'Immobilien-Kalkulation'!$B$70*12,D184&lt;=0),0,IF(AND('Immobilien-Kalkulation'!$B$72=1,B184&gt;'Immobilien-Kalkulation'!$B$69),MIN(D184*C184/12+'Immobilien-Kalkulation'!$B$74/12,D184*(1+C184/12)),MIN('Immobilien-Kalkulation'!$B$67,D184*(1+C184/12))))</f>
        <v>1429.9603560928113</v>
      </c>
      <c r="F184" s="53">
        <f>IF(OR(A184&gt;'Immobilien-Kalkulation'!$B$70*12,D184&lt;=0),0,D184*C184/12)</f>
        <v>583.41300340534838</v>
      </c>
      <c r="G184" s="53">
        <f>IF(OR(A184&gt;'Immobilien-Kalkulation'!$B$70*12,D184&lt;=0),0,MAX(0,MIN(D184,E184-F184)))</f>
        <v>846.54735268746288</v>
      </c>
      <c r="H184" s="95">
        <v>0</v>
      </c>
      <c r="I184" s="53">
        <f>IF(A184&gt;'Immobilien-Kalkulation'!$B$70*12,0,MAX(0,D184-G184-J184))</f>
        <v>199180.76810057482</v>
      </c>
      <c r="J184" s="53">
        <f>IF(OR(A184&gt;'Immobilien-Kalkulation'!$B$70*12,D184&lt;=0),0,MIN(H184,MAX(0,D184-G184)))</f>
        <v>0</v>
      </c>
    </row>
    <row r="185" spans="1:10" x14ac:dyDescent="0.25">
      <c r="A185">
        <v>182</v>
      </c>
      <c r="B185">
        <f t="shared" si="2"/>
        <v>16</v>
      </c>
      <c r="C185" s="28">
        <f>IF(A185&gt;'Immobilien-Kalkulation'!$B$70*12,0,IF(AND('Immobilien-Kalkulation'!$B$72=1,B185&gt;'Immobilien-Kalkulation'!$B$69),'Immobilien-Kalkulation'!$B$73,'Immobilien-Kalkulation'!$B$65))</f>
        <v>3.5000000000000003E-2</v>
      </c>
      <c r="D185" s="53">
        <f>IF(A185&gt;'Immobilien-Kalkulation'!$B$70*12,0,I184)</f>
        <v>199180.76810057482</v>
      </c>
      <c r="E185" s="53">
        <f>IF(OR(A185&gt;'Immobilien-Kalkulation'!$B$70*12,D185&lt;=0),0,IF(AND('Immobilien-Kalkulation'!$B$72=1,B185&gt;'Immobilien-Kalkulation'!$B$69),MIN(D185*C185/12+'Immobilien-Kalkulation'!$B$74/12,D185*(1+C185/12)),MIN('Immobilien-Kalkulation'!$B$67,D185*(1+C185/12))))</f>
        <v>1429.9603560928113</v>
      </c>
      <c r="F185" s="53">
        <f>IF(OR(A185&gt;'Immobilien-Kalkulation'!$B$70*12,D185&lt;=0),0,D185*C185/12)</f>
        <v>580.94390696000994</v>
      </c>
      <c r="G185" s="53">
        <f>IF(OR(A185&gt;'Immobilien-Kalkulation'!$B$70*12,D185&lt;=0),0,MAX(0,MIN(D185,E185-F185)))</f>
        <v>849.01644913280131</v>
      </c>
      <c r="H185" s="95">
        <v>0</v>
      </c>
      <c r="I185" s="53">
        <f>IF(A185&gt;'Immobilien-Kalkulation'!$B$70*12,0,MAX(0,D185-G185-J185))</f>
        <v>198331.75165144203</v>
      </c>
      <c r="J185" s="53">
        <f>IF(OR(A185&gt;'Immobilien-Kalkulation'!$B$70*12,D185&lt;=0),0,MIN(H185,MAX(0,D185-G185)))</f>
        <v>0</v>
      </c>
    </row>
    <row r="186" spans="1:10" x14ac:dyDescent="0.25">
      <c r="A186">
        <v>183</v>
      </c>
      <c r="B186">
        <f t="shared" si="2"/>
        <v>16</v>
      </c>
      <c r="C186" s="28">
        <f>IF(A186&gt;'Immobilien-Kalkulation'!$B$70*12,0,IF(AND('Immobilien-Kalkulation'!$B$72=1,B186&gt;'Immobilien-Kalkulation'!$B$69),'Immobilien-Kalkulation'!$B$73,'Immobilien-Kalkulation'!$B$65))</f>
        <v>3.5000000000000003E-2</v>
      </c>
      <c r="D186" s="53">
        <f>IF(A186&gt;'Immobilien-Kalkulation'!$B$70*12,0,I185)</f>
        <v>198331.75165144203</v>
      </c>
      <c r="E186" s="53">
        <f>IF(OR(A186&gt;'Immobilien-Kalkulation'!$B$70*12,D186&lt;=0),0,IF(AND('Immobilien-Kalkulation'!$B$72=1,B186&gt;'Immobilien-Kalkulation'!$B$69),MIN(D186*C186/12+'Immobilien-Kalkulation'!$B$74/12,D186*(1+C186/12)),MIN('Immobilien-Kalkulation'!$B$67,D186*(1+C186/12))))</f>
        <v>1429.9603560928113</v>
      </c>
      <c r="F186" s="53">
        <f>IF(OR(A186&gt;'Immobilien-Kalkulation'!$B$70*12,D186&lt;=0),0,D186*C186/12)</f>
        <v>578.46760898337266</v>
      </c>
      <c r="G186" s="53">
        <f>IF(OR(A186&gt;'Immobilien-Kalkulation'!$B$70*12,D186&lt;=0),0,MAX(0,MIN(D186,E186-F186)))</f>
        <v>851.4927471094386</v>
      </c>
      <c r="H186" s="95">
        <v>0</v>
      </c>
      <c r="I186" s="53">
        <f>IF(A186&gt;'Immobilien-Kalkulation'!$B$70*12,0,MAX(0,D186-G186-J186))</f>
        <v>197480.25890433259</v>
      </c>
      <c r="J186" s="53">
        <f>IF(OR(A186&gt;'Immobilien-Kalkulation'!$B$70*12,D186&lt;=0),0,MIN(H186,MAX(0,D186-G186)))</f>
        <v>0</v>
      </c>
    </row>
    <row r="187" spans="1:10" x14ac:dyDescent="0.25">
      <c r="A187">
        <v>184</v>
      </c>
      <c r="B187">
        <f t="shared" si="2"/>
        <v>16</v>
      </c>
      <c r="C187" s="28">
        <f>IF(A187&gt;'Immobilien-Kalkulation'!$B$70*12,0,IF(AND('Immobilien-Kalkulation'!$B$72=1,B187&gt;'Immobilien-Kalkulation'!$B$69),'Immobilien-Kalkulation'!$B$73,'Immobilien-Kalkulation'!$B$65))</f>
        <v>3.5000000000000003E-2</v>
      </c>
      <c r="D187" s="53">
        <f>IF(A187&gt;'Immobilien-Kalkulation'!$B$70*12,0,I186)</f>
        <v>197480.25890433259</v>
      </c>
      <c r="E187" s="53">
        <f>IF(OR(A187&gt;'Immobilien-Kalkulation'!$B$70*12,D187&lt;=0),0,IF(AND('Immobilien-Kalkulation'!$B$72=1,B187&gt;'Immobilien-Kalkulation'!$B$69),MIN(D187*C187/12+'Immobilien-Kalkulation'!$B$74/12,D187*(1+C187/12)),MIN('Immobilien-Kalkulation'!$B$67,D187*(1+C187/12))))</f>
        <v>1429.9603560928113</v>
      </c>
      <c r="F187" s="53">
        <f>IF(OR(A187&gt;'Immobilien-Kalkulation'!$B$70*12,D187&lt;=0),0,D187*C187/12)</f>
        <v>575.98408847097005</v>
      </c>
      <c r="G187" s="53">
        <f>IF(OR(A187&gt;'Immobilien-Kalkulation'!$B$70*12,D187&lt;=0),0,MAX(0,MIN(D187,E187-F187)))</f>
        <v>853.9762676218412</v>
      </c>
      <c r="H187" s="95">
        <v>0</v>
      </c>
      <c r="I187" s="53">
        <f>IF(A187&gt;'Immobilien-Kalkulation'!$B$70*12,0,MAX(0,D187-G187-J187))</f>
        <v>196626.28263671073</v>
      </c>
      <c r="J187" s="53">
        <f>IF(OR(A187&gt;'Immobilien-Kalkulation'!$B$70*12,D187&lt;=0),0,MIN(H187,MAX(0,D187-G187)))</f>
        <v>0</v>
      </c>
    </row>
    <row r="188" spans="1:10" x14ac:dyDescent="0.25">
      <c r="A188">
        <v>185</v>
      </c>
      <c r="B188">
        <f t="shared" si="2"/>
        <v>16</v>
      </c>
      <c r="C188" s="28">
        <f>IF(A188&gt;'Immobilien-Kalkulation'!$B$70*12,0,IF(AND('Immobilien-Kalkulation'!$B$72=1,B188&gt;'Immobilien-Kalkulation'!$B$69),'Immobilien-Kalkulation'!$B$73,'Immobilien-Kalkulation'!$B$65))</f>
        <v>3.5000000000000003E-2</v>
      </c>
      <c r="D188" s="53">
        <f>IF(A188&gt;'Immobilien-Kalkulation'!$B$70*12,0,I187)</f>
        <v>196626.28263671073</v>
      </c>
      <c r="E188" s="53">
        <f>IF(OR(A188&gt;'Immobilien-Kalkulation'!$B$70*12,D188&lt;=0),0,IF(AND('Immobilien-Kalkulation'!$B$72=1,B188&gt;'Immobilien-Kalkulation'!$B$69),MIN(D188*C188/12+'Immobilien-Kalkulation'!$B$74/12,D188*(1+C188/12)),MIN('Immobilien-Kalkulation'!$B$67,D188*(1+C188/12))))</f>
        <v>1429.9603560928113</v>
      </c>
      <c r="F188" s="53">
        <f>IF(OR(A188&gt;'Immobilien-Kalkulation'!$B$70*12,D188&lt;=0),0,D188*C188/12)</f>
        <v>573.49332435707299</v>
      </c>
      <c r="G188" s="53">
        <f>IF(OR(A188&gt;'Immobilien-Kalkulation'!$B$70*12,D188&lt;=0),0,MAX(0,MIN(D188,E188-F188)))</f>
        <v>856.46703173573826</v>
      </c>
      <c r="H188" s="95">
        <v>0</v>
      </c>
      <c r="I188" s="53">
        <f>IF(A188&gt;'Immobilien-Kalkulation'!$B$70*12,0,MAX(0,D188-G188-J188))</f>
        <v>195769.81560497498</v>
      </c>
      <c r="J188" s="53">
        <f>IF(OR(A188&gt;'Immobilien-Kalkulation'!$B$70*12,D188&lt;=0),0,MIN(H188,MAX(0,D188-G188)))</f>
        <v>0</v>
      </c>
    </row>
    <row r="189" spans="1:10" x14ac:dyDescent="0.25">
      <c r="A189">
        <v>186</v>
      </c>
      <c r="B189">
        <f t="shared" si="2"/>
        <v>16</v>
      </c>
      <c r="C189" s="28">
        <f>IF(A189&gt;'Immobilien-Kalkulation'!$B$70*12,0,IF(AND('Immobilien-Kalkulation'!$B$72=1,B189&gt;'Immobilien-Kalkulation'!$B$69),'Immobilien-Kalkulation'!$B$73,'Immobilien-Kalkulation'!$B$65))</f>
        <v>3.5000000000000003E-2</v>
      </c>
      <c r="D189" s="53">
        <f>IF(A189&gt;'Immobilien-Kalkulation'!$B$70*12,0,I188)</f>
        <v>195769.81560497498</v>
      </c>
      <c r="E189" s="53">
        <f>IF(OR(A189&gt;'Immobilien-Kalkulation'!$B$70*12,D189&lt;=0),0,IF(AND('Immobilien-Kalkulation'!$B$72=1,B189&gt;'Immobilien-Kalkulation'!$B$69),MIN(D189*C189/12+'Immobilien-Kalkulation'!$B$74/12,D189*(1+C189/12)),MIN('Immobilien-Kalkulation'!$B$67,D189*(1+C189/12))))</f>
        <v>1429.9603560928113</v>
      </c>
      <c r="F189" s="53">
        <f>IF(OR(A189&gt;'Immobilien-Kalkulation'!$B$70*12,D189&lt;=0),0,D189*C189/12)</f>
        <v>570.99529551451042</v>
      </c>
      <c r="G189" s="53">
        <f>IF(OR(A189&gt;'Immobilien-Kalkulation'!$B$70*12,D189&lt;=0),0,MAX(0,MIN(D189,E189-F189)))</f>
        <v>858.96506057830084</v>
      </c>
      <c r="H189" s="95">
        <v>0</v>
      </c>
      <c r="I189" s="53">
        <f>IF(A189&gt;'Immobilien-Kalkulation'!$B$70*12,0,MAX(0,D189-G189-J189))</f>
        <v>194910.85054439667</v>
      </c>
      <c r="J189" s="53">
        <f>IF(OR(A189&gt;'Immobilien-Kalkulation'!$B$70*12,D189&lt;=0),0,MIN(H189,MAX(0,D189-G189)))</f>
        <v>0</v>
      </c>
    </row>
    <row r="190" spans="1:10" x14ac:dyDescent="0.25">
      <c r="A190">
        <v>187</v>
      </c>
      <c r="B190">
        <f t="shared" si="2"/>
        <v>16</v>
      </c>
      <c r="C190" s="28">
        <f>IF(A190&gt;'Immobilien-Kalkulation'!$B$70*12,0,IF(AND('Immobilien-Kalkulation'!$B$72=1,B190&gt;'Immobilien-Kalkulation'!$B$69),'Immobilien-Kalkulation'!$B$73,'Immobilien-Kalkulation'!$B$65))</f>
        <v>3.5000000000000003E-2</v>
      </c>
      <c r="D190" s="53">
        <f>IF(A190&gt;'Immobilien-Kalkulation'!$B$70*12,0,I189)</f>
        <v>194910.85054439667</v>
      </c>
      <c r="E190" s="53">
        <f>IF(OR(A190&gt;'Immobilien-Kalkulation'!$B$70*12,D190&lt;=0),0,IF(AND('Immobilien-Kalkulation'!$B$72=1,B190&gt;'Immobilien-Kalkulation'!$B$69),MIN(D190*C190/12+'Immobilien-Kalkulation'!$B$74/12,D190*(1+C190/12)),MIN('Immobilien-Kalkulation'!$B$67,D190*(1+C190/12))))</f>
        <v>1429.9603560928113</v>
      </c>
      <c r="F190" s="53">
        <f>IF(OR(A190&gt;'Immobilien-Kalkulation'!$B$70*12,D190&lt;=0),0,D190*C190/12)</f>
        <v>568.48998075449038</v>
      </c>
      <c r="G190" s="53">
        <f>IF(OR(A190&gt;'Immobilien-Kalkulation'!$B$70*12,D190&lt;=0),0,MAX(0,MIN(D190,E190-F190)))</f>
        <v>861.47037533832088</v>
      </c>
      <c r="H190" s="95">
        <v>0</v>
      </c>
      <c r="I190" s="53">
        <f>IF(A190&gt;'Immobilien-Kalkulation'!$B$70*12,0,MAX(0,D190-G190-J190))</f>
        <v>194049.38016905836</v>
      </c>
      <c r="J190" s="53">
        <f>IF(OR(A190&gt;'Immobilien-Kalkulation'!$B$70*12,D190&lt;=0),0,MIN(H190,MAX(0,D190-G190)))</f>
        <v>0</v>
      </c>
    </row>
    <row r="191" spans="1:10" x14ac:dyDescent="0.25">
      <c r="A191">
        <v>188</v>
      </c>
      <c r="B191">
        <f t="shared" si="2"/>
        <v>16</v>
      </c>
      <c r="C191" s="28">
        <f>IF(A191&gt;'Immobilien-Kalkulation'!$B$70*12,0,IF(AND('Immobilien-Kalkulation'!$B$72=1,B191&gt;'Immobilien-Kalkulation'!$B$69),'Immobilien-Kalkulation'!$B$73,'Immobilien-Kalkulation'!$B$65))</f>
        <v>3.5000000000000003E-2</v>
      </c>
      <c r="D191" s="53">
        <f>IF(A191&gt;'Immobilien-Kalkulation'!$B$70*12,0,I190)</f>
        <v>194049.38016905836</v>
      </c>
      <c r="E191" s="53">
        <f>IF(OR(A191&gt;'Immobilien-Kalkulation'!$B$70*12,D191&lt;=0),0,IF(AND('Immobilien-Kalkulation'!$B$72=1,B191&gt;'Immobilien-Kalkulation'!$B$69),MIN(D191*C191/12+'Immobilien-Kalkulation'!$B$74/12,D191*(1+C191/12)),MIN('Immobilien-Kalkulation'!$B$67,D191*(1+C191/12))))</f>
        <v>1429.9603560928113</v>
      </c>
      <c r="F191" s="53">
        <f>IF(OR(A191&gt;'Immobilien-Kalkulation'!$B$70*12,D191&lt;=0),0,D191*C191/12)</f>
        <v>565.9773588264203</v>
      </c>
      <c r="G191" s="53">
        <f>IF(OR(A191&gt;'Immobilien-Kalkulation'!$B$70*12,D191&lt;=0),0,MAX(0,MIN(D191,E191-F191)))</f>
        <v>863.98299726639095</v>
      </c>
      <c r="H191" s="95">
        <v>0</v>
      </c>
      <c r="I191" s="53">
        <f>IF(A191&gt;'Immobilien-Kalkulation'!$B$70*12,0,MAX(0,D191-G191-J191))</f>
        <v>193185.39717179196</v>
      </c>
      <c r="J191" s="53">
        <f>IF(OR(A191&gt;'Immobilien-Kalkulation'!$B$70*12,D191&lt;=0),0,MIN(H191,MAX(0,D191-G191)))</f>
        <v>0</v>
      </c>
    </row>
    <row r="192" spans="1:10" x14ac:dyDescent="0.25">
      <c r="A192">
        <v>189</v>
      </c>
      <c r="B192">
        <f t="shared" si="2"/>
        <v>16</v>
      </c>
      <c r="C192" s="28">
        <f>IF(A192&gt;'Immobilien-Kalkulation'!$B$70*12,0,IF(AND('Immobilien-Kalkulation'!$B$72=1,B192&gt;'Immobilien-Kalkulation'!$B$69),'Immobilien-Kalkulation'!$B$73,'Immobilien-Kalkulation'!$B$65))</f>
        <v>3.5000000000000003E-2</v>
      </c>
      <c r="D192" s="53">
        <f>IF(A192&gt;'Immobilien-Kalkulation'!$B$70*12,0,I191)</f>
        <v>193185.39717179196</v>
      </c>
      <c r="E192" s="53">
        <f>IF(OR(A192&gt;'Immobilien-Kalkulation'!$B$70*12,D192&lt;=0),0,IF(AND('Immobilien-Kalkulation'!$B$72=1,B192&gt;'Immobilien-Kalkulation'!$B$69),MIN(D192*C192/12+'Immobilien-Kalkulation'!$B$74/12,D192*(1+C192/12)),MIN('Immobilien-Kalkulation'!$B$67,D192*(1+C192/12))))</f>
        <v>1429.9603560928113</v>
      </c>
      <c r="F192" s="53">
        <f>IF(OR(A192&gt;'Immobilien-Kalkulation'!$B$70*12,D192&lt;=0),0,D192*C192/12)</f>
        <v>563.45740841772658</v>
      </c>
      <c r="G192" s="53">
        <f>IF(OR(A192&gt;'Immobilien-Kalkulation'!$B$70*12,D192&lt;=0),0,MAX(0,MIN(D192,E192-F192)))</f>
        <v>866.50294767508467</v>
      </c>
      <c r="H192" s="95">
        <v>0</v>
      </c>
      <c r="I192" s="53">
        <f>IF(A192&gt;'Immobilien-Kalkulation'!$B$70*12,0,MAX(0,D192-G192-J192))</f>
        <v>192318.89422411687</v>
      </c>
      <c r="J192" s="53">
        <f>IF(OR(A192&gt;'Immobilien-Kalkulation'!$B$70*12,D192&lt;=0),0,MIN(H192,MAX(0,D192-G192)))</f>
        <v>0</v>
      </c>
    </row>
    <row r="193" spans="1:10" x14ac:dyDescent="0.25">
      <c r="A193">
        <v>190</v>
      </c>
      <c r="B193">
        <f t="shared" si="2"/>
        <v>16</v>
      </c>
      <c r="C193" s="28">
        <f>IF(A193&gt;'Immobilien-Kalkulation'!$B$70*12,0,IF(AND('Immobilien-Kalkulation'!$B$72=1,B193&gt;'Immobilien-Kalkulation'!$B$69),'Immobilien-Kalkulation'!$B$73,'Immobilien-Kalkulation'!$B$65))</f>
        <v>3.5000000000000003E-2</v>
      </c>
      <c r="D193" s="53">
        <f>IF(A193&gt;'Immobilien-Kalkulation'!$B$70*12,0,I192)</f>
        <v>192318.89422411687</v>
      </c>
      <c r="E193" s="53">
        <f>IF(OR(A193&gt;'Immobilien-Kalkulation'!$B$70*12,D193&lt;=0),0,IF(AND('Immobilien-Kalkulation'!$B$72=1,B193&gt;'Immobilien-Kalkulation'!$B$69),MIN(D193*C193/12+'Immobilien-Kalkulation'!$B$74/12,D193*(1+C193/12)),MIN('Immobilien-Kalkulation'!$B$67,D193*(1+C193/12))))</f>
        <v>1429.9603560928113</v>
      </c>
      <c r="F193" s="53">
        <f>IF(OR(A193&gt;'Immobilien-Kalkulation'!$B$70*12,D193&lt;=0),0,D193*C193/12)</f>
        <v>560.93010815367427</v>
      </c>
      <c r="G193" s="53">
        <f>IF(OR(A193&gt;'Immobilien-Kalkulation'!$B$70*12,D193&lt;=0),0,MAX(0,MIN(D193,E193-F193)))</f>
        <v>869.03024793913698</v>
      </c>
      <c r="H193" s="95">
        <v>0</v>
      </c>
      <c r="I193" s="53">
        <f>IF(A193&gt;'Immobilien-Kalkulation'!$B$70*12,0,MAX(0,D193-G193-J193))</f>
        <v>191449.86397617773</v>
      </c>
      <c r="J193" s="53">
        <f>IF(OR(A193&gt;'Immobilien-Kalkulation'!$B$70*12,D193&lt;=0),0,MIN(H193,MAX(0,D193-G193)))</f>
        <v>0</v>
      </c>
    </row>
    <row r="194" spans="1:10" x14ac:dyDescent="0.25">
      <c r="A194">
        <v>191</v>
      </c>
      <c r="B194">
        <f t="shared" si="2"/>
        <v>16</v>
      </c>
      <c r="C194" s="28">
        <f>IF(A194&gt;'Immobilien-Kalkulation'!$B$70*12,0,IF(AND('Immobilien-Kalkulation'!$B$72=1,B194&gt;'Immobilien-Kalkulation'!$B$69),'Immobilien-Kalkulation'!$B$73,'Immobilien-Kalkulation'!$B$65))</f>
        <v>3.5000000000000003E-2</v>
      </c>
      <c r="D194" s="53">
        <f>IF(A194&gt;'Immobilien-Kalkulation'!$B$70*12,0,I193)</f>
        <v>191449.86397617773</v>
      </c>
      <c r="E194" s="53">
        <f>IF(OR(A194&gt;'Immobilien-Kalkulation'!$B$70*12,D194&lt;=0),0,IF(AND('Immobilien-Kalkulation'!$B$72=1,B194&gt;'Immobilien-Kalkulation'!$B$69),MIN(D194*C194/12+'Immobilien-Kalkulation'!$B$74/12,D194*(1+C194/12)),MIN('Immobilien-Kalkulation'!$B$67,D194*(1+C194/12))))</f>
        <v>1429.9603560928113</v>
      </c>
      <c r="F194" s="53">
        <f>IF(OR(A194&gt;'Immobilien-Kalkulation'!$B$70*12,D194&lt;=0),0,D194*C194/12)</f>
        <v>558.39543659718504</v>
      </c>
      <c r="G194" s="53">
        <f>IF(OR(A194&gt;'Immobilien-Kalkulation'!$B$70*12,D194&lt;=0),0,MAX(0,MIN(D194,E194-F194)))</f>
        <v>871.56491949562621</v>
      </c>
      <c r="H194" s="95">
        <v>0</v>
      </c>
      <c r="I194" s="53">
        <f>IF(A194&gt;'Immobilien-Kalkulation'!$B$70*12,0,MAX(0,D194-G194-J194))</f>
        <v>190578.2990566821</v>
      </c>
      <c r="J194" s="53">
        <f>IF(OR(A194&gt;'Immobilien-Kalkulation'!$B$70*12,D194&lt;=0),0,MIN(H194,MAX(0,D194-G194)))</f>
        <v>0</v>
      </c>
    </row>
    <row r="195" spans="1:10" x14ac:dyDescent="0.25">
      <c r="A195">
        <v>192</v>
      </c>
      <c r="B195">
        <f t="shared" si="2"/>
        <v>16</v>
      </c>
      <c r="C195" s="28">
        <f>IF(A195&gt;'Immobilien-Kalkulation'!$B$70*12,0,IF(AND('Immobilien-Kalkulation'!$B$72=1,B195&gt;'Immobilien-Kalkulation'!$B$69),'Immobilien-Kalkulation'!$B$73,'Immobilien-Kalkulation'!$B$65))</f>
        <v>3.5000000000000003E-2</v>
      </c>
      <c r="D195" s="53">
        <f>IF(A195&gt;'Immobilien-Kalkulation'!$B$70*12,0,I194)</f>
        <v>190578.2990566821</v>
      </c>
      <c r="E195" s="53">
        <f>IF(OR(A195&gt;'Immobilien-Kalkulation'!$B$70*12,D195&lt;=0),0,IF(AND('Immobilien-Kalkulation'!$B$72=1,B195&gt;'Immobilien-Kalkulation'!$B$69),MIN(D195*C195/12+'Immobilien-Kalkulation'!$B$74/12,D195*(1+C195/12)),MIN('Immobilien-Kalkulation'!$B$67,D195*(1+C195/12))))</f>
        <v>1429.9603560928113</v>
      </c>
      <c r="F195" s="53">
        <f>IF(OR(A195&gt;'Immobilien-Kalkulation'!$B$70*12,D195&lt;=0),0,D195*C195/12)</f>
        <v>555.85337224865623</v>
      </c>
      <c r="G195" s="53">
        <f>IF(OR(A195&gt;'Immobilien-Kalkulation'!$B$70*12,D195&lt;=0),0,MAX(0,MIN(D195,E195-F195)))</f>
        <v>874.10698384415502</v>
      </c>
      <c r="H195" s="95">
        <v>0</v>
      </c>
      <c r="I195" s="53">
        <f>IF(A195&gt;'Immobilien-Kalkulation'!$B$70*12,0,MAX(0,D195-G195-J195))</f>
        <v>189704.19207283793</v>
      </c>
      <c r="J195" s="53">
        <f>IF(OR(A195&gt;'Immobilien-Kalkulation'!$B$70*12,D195&lt;=0),0,MIN(H195,MAX(0,D195-G195)))</f>
        <v>0</v>
      </c>
    </row>
    <row r="196" spans="1:10" x14ac:dyDescent="0.25">
      <c r="A196">
        <v>193</v>
      </c>
      <c r="B196">
        <f t="shared" ref="B196:B259" si="3">INT((A196-1)/12)+1</f>
        <v>17</v>
      </c>
      <c r="C196" s="28">
        <f>IF(A196&gt;'Immobilien-Kalkulation'!$B$70*12,0,IF(AND('Immobilien-Kalkulation'!$B$72=1,B196&gt;'Immobilien-Kalkulation'!$B$69),'Immobilien-Kalkulation'!$B$73,'Immobilien-Kalkulation'!$B$65))</f>
        <v>3.5000000000000003E-2</v>
      </c>
      <c r="D196" s="53">
        <f>IF(A196&gt;'Immobilien-Kalkulation'!$B$70*12,0,I195)</f>
        <v>189704.19207283793</v>
      </c>
      <c r="E196" s="53">
        <f>IF(OR(A196&gt;'Immobilien-Kalkulation'!$B$70*12,D196&lt;=0),0,IF(AND('Immobilien-Kalkulation'!$B$72=1,B196&gt;'Immobilien-Kalkulation'!$B$69),MIN(D196*C196/12+'Immobilien-Kalkulation'!$B$74/12,D196*(1+C196/12)),MIN('Immobilien-Kalkulation'!$B$67,D196*(1+C196/12))))</f>
        <v>1429.9603560928113</v>
      </c>
      <c r="F196" s="53">
        <f>IF(OR(A196&gt;'Immobilien-Kalkulation'!$B$70*12,D196&lt;=0),0,D196*C196/12)</f>
        <v>553.30389354577733</v>
      </c>
      <c r="G196" s="53">
        <f>IF(OR(A196&gt;'Immobilien-Kalkulation'!$B$70*12,D196&lt;=0),0,MAX(0,MIN(D196,E196-F196)))</f>
        <v>876.65646254703393</v>
      </c>
      <c r="H196" s="95">
        <v>0</v>
      </c>
      <c r="I196" s="53">
        <f>IF(A196&gt;'Immobilien-Kalkulation'!$B$70*12,0,MAX(0,D196-G196-J196))</f>
        <v>188827.53561029091</v>
      </c>
      <c r="J196" s="53">
        <f>IF(OR(A196&gt;'Immobilien-Kalkulation'!$B$70*12,D196&lt;=0),0,MIN(H196,MAX(0,D196-G196)))</f>
        <v>0</v>
      </c>
    </row>
    <row r="197" spans="1:10" x14ac:dyDescent="0.25">
      <c r="A197">
        <v>194</v>
      </c>
      <c r="B197">
        <f t="shared" si="3"/>
        <v>17</v>
      </c>
      <c r="C197" s="28">
        <f>IF(A197&gt;'Immobilien-Kalkulation'!$B$70*12,0,IF(AND('Immobilien-Kalkulation'!$B$72=1,B197&gt;'Immobilien-Kalkulation'!$B$69),'Immobilien-Kalkulation'!$B$73,'Immobilien-Kalkulation'!$B$65))</f>
        <v>3.5000000000000003E-2</v>
      </c>
      <c r="D197" s="53">
        <f>IF(A197&gt;'Immobilien-Kalkulation'!$B$70*12,0,I196)</f>
        <v>188827.53561029091</v>
      </c>
      <c r="E197" s="53">
        <f>IF(OR(A197&gt;'Immobilien-Kalkulation'!$B$70*12,D197&lt;=0),0,IF(AND('Immobilien-Kalkulation'!$B$72=1,B197&gt;'Immobilien-Kalkulation'!$B$69),MIN(D197*C197/12+'Immobilien-Kalkulation'!$B$74/12,D197*(1+C197/12)),MIN('Immobilien-Kalkulation'!$B$67,D197*(1+C197/12))))</f>
        <v>1429.9603560928113</v>
      </c>
      <c r="F197" s="53">
        <f>IF(OR(A197&gt;'Immobilien-Kalkulation'!$B$70*12,D197&lt;=0),0,D197*C197/12)</f>
        <v>550.74697886334855</v>
      </c>
      <c r="G197" s="53">
        <f>IF(OR(A197&gt;'Immobilien-Kalkulation'!$B$70*12,D197&lt;=0),0,MAX(0,MIN(D197,E197-F197)))</f>
        <v>879.21337722946271</v>
      </c>
      <c r="H197" s="95">
        <v>0</v>
      </c>
      <c r="I197" s="53">
        <f>IF(A197&gt;'Immobilien-Kalkulation'!$B$70*12,0,MAX(0,D197-G197-J197))</f>
        <v>187948.32223306145</v>
      </c>
      <c r="J197" s="53">
        <f>IF(OR(A197&gt;'Immobilien-Kalkulation'!$B$70*12,D197&lt;=0),0,MIN(H197,MAX(0,D197-G197)))</f>
        <v>0</v>
      </c>
    </row>
    <row r="198" spans="1:10" x14ac:dyDescent="0.25">
      <c r="A198">
        <v>195</v>
      </c>
      <c r="B198">
        <f t="shared" si="3"/>
        <v>17</v>
      </c>
      <c r="C198" s="28">
        <f>IF(A198&gt;'Immobilien-Kalkulation'!$B$70*12,0,IF(AND('Immobilien-Kalkulation'!$B$72=1,B198&gt;'Immobilien-Kalkulation'!$B$69),'Immobilien-Kalkulation'!$B$73,'Immobilien-Kalkulation'!$B$65))</f>
        <v>3.5000000000000003E-2</v>
      </c>
      <c r="D198" s="53">
        <f>IF(A198&gt;'Immobilien-Kalkulation'!$B$70*12,0,I197)</f>
        <v>187948.32223306145</v>
      </c>
      <c r="E198" s="53">
        <f>IF(OR(A198&gt;'Immobilien-Kalkulation'!$B$70*12,D198&lt;=0),0,IF(AND('Immobilien-Kalkulation'!$B$72=1,B198&gt;'Immobilien-Kalkulation'!$B$69),MIN(D198*C198/12+'Immobilien-Kalkulation'!$B$74/12,D198*(1+C198/12)),MIN('Immobilien-Kalkulation'!$B$67,D198*(1+C198/12))))</f>
        <v>1429.9603560928113</v>
      </c>
      <c r="F198" s="53">
        <f>IF(OR(A198&gt;'Immobilien-Kalkulation'!$B$70*12,D198&lt;=0),0,D198*C198/12)</f>
        <v>548.18260651309595</v>
      </c>
      <c r="G198" s="53">
        <f>IF(OR(A198&gt;'Immobilien-Kalkulation'!$B$70*12,D198&lt;=0),0,MAX(0,MIN(D198,E198-F198)))</f>
        <v>881.77774957971531</v>
      </c>
      <c r="H198" s="95">
        <v>0</v>
      </c>
      <c r="I198" s="53">
        <f>IF(A198&gt;'Immobilien-Kalkulation'!$B$70*12,0,MAX(0,D198-G198-J198))</f>
        <v>187066.54448348173</v>
      </c>
      <c r="J198" s="53">
        <f>IF(OR(A198&gt;'Immobilien-Kalkulation'!$B$70*12,D198&lt;=0),0,MIN(H198,MAX(0,D198-G198)))</f>
        <v>0</v>
      </c>
    </row>
    <row r="199" spans="1:10" x14ac:dyDescent="0.25">
      <c r="A199">
        <v>196</v>
      </c>
      <c r="B199">
        <f t="shared" si="3"/>
        <v>17</v>
      </c>
      <c r="C199" s="28">
        <f>IF(A199&gt;'Immobilien-Kalkulation'!$B$70*12,0,IF(AND('Immobilien-Kalkulation'!$B$72=1,B199&gt;'Immobilien-Kalkulation'!$B$69),'Immobilien-Kalkulation'!$B$73,'Immobilien-Kalkulation'!$B$65))</f>
        <v>3.5000000000000003E-2</v>
      </c>
      <c r="D199" s="53">
        <f>IF(A199&gt;'Immobilien-Kalkulation'!$B$70*12,0,I198)</f>
        <v>187066.54448348173</v>
      </c>
      <c r="E199" s="53">
        <f>IF(OR(A199&gt;'Immobilien-Kalkulation'!$B$70*12,D199&lt;=0),0,IF(AND('Immobilien-Kalkulation'!$B$72=1,B199&gt;'Immobilien-Kalkulation'!$B$69),MIN(D199*C199/12+'Immobilien-Kalkulation'!$B$74/12,D199*(1+C199/12)),MIN('Immobilien-Kalkulation'!$B$67,D199*(1+C199/12))))</f>
        <v>1429.9603560928113</v>
      </c>
      <c r="F199" s="53">
        <f>IF(OR(A199&gt;'Immobilien-Kalkulation'!$B$70*12,D199&lt;=0),0,D199*C199/12)</f>
        <v>545.61075474348843</v>
      </c>
      <c r="G199" s="53">
        <f>IF(OR(A199&gt;'Immobilien-Kalkulation'!$B$70*12,D199&lt;=0),0,MAX(0,MIN(D199,E199-F199)))</f>
        <v>884.34960134932282</v>
      </c>
      <c r="H199" s="95">
        <v>0</v>
      </c>
      <c r="I199" s="53">
        <f>IF(A199&gt;'Immobilien-Kalkulation'!$B$70*12,0,MAX(0,D199-G199-J199))</f>
        <v>186182.1948821324</v>
      </c>
      <c r="J199" s="53">
        <f>IF(OR(A199&gt;'Immobilien-Kalkulation'!$B$70*12,D199&lt;=0),0,MIN(H199,MAX(0,D199-G199)))</f>
        <v>0</v>
      </c>
    </row>
    <row r="200" spans="1:10" x14ac:dyDescent="0.25">
      <c r="A200">
        <v>197</v>
      </c>
      <c r="B200">
        <f t="shared" si="3"/>
        <v>17</v>
      </c>
      <c r="C200" s="28">
        <f>IF(A200&gt;'Immobilien-Kalkulation'!$B$70*12,0,IF(AND('Immobilien-Kalkulation'!$B$72=1,B200&gt;'Immobilien-Kalkulation'!$B$69),'Immobilien-Kalkulation'!$B$73,'Immobilien-Kalkulation'!$B$65))</f>
        <v>3.5000000000000003E-2</v>
      </c>
      <c r="D200" s="53">
        <f>IF(A200&gt;'Immobilien-Kalkulation'!$B$70*12,0,I199)</f>
        <v>186182.1948821324</v>
      </c>
      <c r="E200" s="53">
        <f>IF(OR(A200&gt;'Immobilien-Kalkulation'!$B$70*12,D200&lt;=0),0,IF(AND('Immobilien-Kalkulation'!$B$72=1,B200&gt;'Immobilien-Kalkulation'!$B$69),MIN(D200*C200/12+'Immobilien-Kalkulation'!$B$74/12,D200*(1+C200/12)),MIN('Immobilien-Kalkulation'!$B$67,D200*(1+C200/12))))</f>
        <v>1429.9603560928113</v>
      </c>
      <c r="F200" s="53">
        <f>IF(OR(A200&gt;'Immobilien-Kalkulation'!$B$70*12,D200&lt;=0),0,D200*C200/12)</f>
        <v>543.03140173955296</v>
      </c>
      <c r="G200" s="53">
        <f>IF(OR(A200&gt;'Immobilien-Kalkulation'!$B$70*12,D200&lt;=0),0,MAX(0,MIN(D200,E200-F200)))</f>
        <v>886.92895435325829</v>
      </c>
      <c r="H200" s="95">
        <v>0</v>
      </c>
      <c r="I200" s="53">
        <f>IF(A200&gt;'Immobilien-Kalkulation'!$B$70*12,0,MAX(0,D200-G200-J200))</f>
        <v>185295.26592777914</v>
      </c>
      <c r="J200" s="53">
        <f>IF(OR(A200&gt;'Immobilien-Kalkulation'!$B$70*12,D200&lt;=0),0,MIN(H200,MAX(0,D200-G200)))</f>
        <v>0</v>
      </c>
    </row>
    <row r="201" spans="1:10" x14ac:dyDescent="0.25">
      <c r="A201">
        <v>198</v>
      </c>
      <c r="B201">
        <f t="shared" si="3"/>
        <v>17</v>
      </c>
      <c r="C201" s="28">
        <f>IF(A201&gt;'Immobilien-Kalkulation'!$B$70*12,0,IF(AND('Immobilien-Kalkulation'!$B$72=1,B201&gt;'Immobilien-Kalkulation'!$B$69),'Immobilien-Kalkulation'!$B$73,'Immobilien-Kalkulation'!$B$65))</f>
        <v>3.5000000000000003E-2</v>
      </c>
      <c r="D201" s="53">
        <f>IF(A201&gt;'Immobilien-Kalkulation'!$B$70*12,0,I200)</f>
        <v>185295.26592777914</v>
      </c>
      <c r="E201" s="53">
        <f>IF(OR(A201&gt;'Immobilien-Kalkulation'!$B$70*12,D201&lt;=0),0,IF(AND('Immobilien-Kalkulation'!$B$72=1,B201&gt;'Immobilien-Kalkulation'!$B$69),MIN(D201*C201/12+'Immobilien-Kalkulation'!$B$74/12,D201*(1+C201/12)),MIN('Immobilien-Kalkulation'!$B$67,D201*(1+C201/12))))</f>
        <v>1429.9603560928113</v>
      </c>
      <c r="F201" s="53">
        <f>IF(OR(A201&gt;'Immobilien-Kalkulation'!$B$70*12,D201&lt;=0),0,D201*C201/12)</f>
        <v>540.44452562268918</v>
      </c>
      <c r="G201" s="53">
        <f>IF(OR(A201&gt;'Immobilien-Kalkulation'!$B$70*12,D201&lt;=0),0,MAX(0,MIN(D201,E201-F201)))</f>
        <v>889.51583047012207</v>
      </c>
      <c r="H201" s="95">
        <v>0</v>
      </c>
      <c r="I201" s="53">
        <f>IF(A201&gt;'Immobilien-Kalkulation'!$B$70*12,0,MAX(0,D201-G201-J201))</f>
        <v>184405.75009730901</v>
      </c>
      <c r="J201" s="53">
        <f>IF(OR(A201&gt;'Immobilien-Kalkulation'!$B$70*12,D201&lt;=0),0,MIN(H201,MAX(0,D201-G201)))</f>
        <v>0</v>
      </c>
    </row>
    <row r="202" spans="1:10" x14ac:dyDescent="0.25">
      <c r="A202">
        <v>199</v>
      </c>
      <c r="B202">
        <f t="shared" si="3"/>
        <v>17</v>
      </c>
      <c r="C202" s="28">
        <f>IF(A202&gt;'Immobilien-Kalkulation'!$B$70*12,0,IF(AND('Immobilien-Kalkulation'!$B$72=1,B202&gt;'Immobilien-Kalkulation'!$B$69),'Immobilien-Kalkulation'!$B$73,'Immobilien-Kalkulation'!$B$65))</f>
        <v>3.5000000000000003E-2</v>
      </c>
      <c r="D202" s="53">
        <f>IF(A202&gt;'Immobilien-Kalkulation'!$B$70*12,0,I201)</f>
        <v>184405.75009730901</v>
      </c>
      <c r="E202" s="53">
        <f>IF(OR(A202&gt;'Immobilien-Kalkulation'!$B$70*12,D202&lt;=0),0,IF(AND('Immobilien-Kalkulation'!$B$72=1,B202&gt;'Immobilien-Kalkulation'!$B$69),MIN(D202*C202/12+'Immobilien-Kalkulation'!$B$74/12,D202*(1+C202/12)),MIN('Immobilien-Kalkulation'!$B$67,D202*(1+C202/12))))</f>
        <v>1429.9603560928113</v>
      </c>
      <c r="F202" s="53">
        <f>IF(OR(A202&gt;'Immobilien-Kalkulation'!$B$70*12,D202&lt;=0),0,D202*C202/12)</f>
        <v>537.85010445048465</v>
      </c>
      <c r="G202" s="53">
        <f>IF(OR(A202&gt;'Immobilien-Kalkulation'!$B$70*12,D202&lt;=0),0,MAX(0,MIN(D202,E202-F202)))</f>
        <v>892.1102516423266</v>
      </c>
      <c r="H202" s="95">
        <v>0</v>
      </c>
      <c r="I202" s="53">
        <f>IF(A202&gt;'Immobilien-Kalkulation'!$B$70*12,0,MAX(0,D202-G202-J202))</f>
        <v>183513.63984566668</v>
      </c>
      <c r="J202" s="53">
        <f>IF(OR(A202&gt;'Immobilien-Kalkulation'!$B$70*12,D202&lt;=0),0,MIN(H202,MAX(0,D202-G202)))</f>
        <v>0</v>
      </c>
    </row>
    <row r="203" spans="1:10" x14ac:dyDescent="0.25">
      <c r="A203">
        <v>200</v>
      </c>
      <c r="B203">
        <f t="shared" si="3"/>
        <v>17</v>
      </c>
      <c r="C203" s="28">
        <f>IF(A203&gt;'Immobilien-Kalkulation'!$B$70*12,0,IF(AND('Immobilien-Kalkulation'!$B$72=1,B203&gt;'Immobilien-Kalkulation'!$B$69),'Immobilien-Kalkulation'!$B$73,'Immobilien-Kalkulation'!$B$65))</f>
        <v>3.5000000000000003E-2</v>
      </c>
      <c r="D203" s="53">
        <f>IF(A203&gt;'Immobilien-Kalkulation'!$B$70*12,0,I202)</f>
        <v>183513.63984566668</v>
      </c>
      <c r="E203" s="53">
        <f>IF(OR(A203&gt;'Immobilien-Kalkulation'!$B$70*12,D203&lt;=0),0,IF(AND('Immobilien-Kalkulation'!$B$72=1,B203&gt;'Immobilien-Kalkulation'!$B$69),MIN(D203*C203/12+'Immobilien-Kalkulation'!$B$74/12,D203*(1+C203/12)),MIN('Immobilien-Kalkulation'!$B$67,D203*(1+C203/12))))</f>
        <v>1429.9603560928113</v>
      </c>
      <c r="F203" s="53">
        <f>IF(OR(A203&gt;'Immobilien-Kalkulation'!$B$70*12,D203&lt;=0),0,D203*C203/12)</f>
        <v>535.24811621652782</v>
      </c>
      <c r="G203" s="53">
        <f>IF(OR(A203&gt;'Immobilien-Kalkulation'!$B$70*12,D203&lt;=0),0,MAX(0,MIN(D203,E203-F203)))</f>
        <v>894.71223987628343</v>
      </c>
      <c r="H203" s="95">
        <v>0</v>
      </c>
      <c r="I203" s="53">
        <f>IF(A203&gt;'Immobilien-Kalkulation'!$B$70*12,0,MAX(0,D203-G203-J203))</f>
        <v>182618.92760579041</v>
      </c>
      <c r="J203" s="53">
        <f>IF(OR(A203&gt;'Immobilien-Kalkulation'!$B$70*12,D203&lt;=0),0,MIN(H203,MAX(0,D203-G203)))</f>
        <v>0</v>
      </c>
    </row>
    <row r="204" spans="1:10" x14ac:dyDescent="0.25">
      <c r="A204">
        <v>201</v>
      </c>
      <c r="B204">
        <f t="shared" si="3"/>
        <v>17</v>
      </c>
      <c r="C204" s="28">
        <f>IF(A204&gt;'Immobilien-Kalkulation'!$B$70*12,0,IF(AND('Immobilien-Kalkulation'!$B$72=1,B204&gt;'Immobilien-Kalkulation'!$B$69),'Immobilien-Kalkulation'!$B$73,'Immobilien-Kalkulation'!$B$65))</f>
        <v>3.5000000000000003E-2</v>
      </c>
      <c r="D204" s="53">
        <f>IF(A204&gt;'Immobilien-Kalkulation'!$B$70*12,0,I203)</f>
        <v>182618.92760579041</v>
      </c>
      <c r="E204" s="53">
        <f>IF(OR(A204&gt;'Immobilien-Kalkulation'!$B$70*12,D204&lt;=0),0,IF(AND('Immobilien-Kalkulation'!$B$72=1,B204&gt;'Immobilien-Kalkulation'!$B$69),MIN(D204*C204/12+'Immobilien-Kalkulation'!$B$74/12,D204*(1+C204/12)),MIN('Immobilien-Kalkulation'!$B$67,D204*(1+C204/12))))</f>
        <v>1429.9603560928113</v>
      </c>
      <c r="F204" s="53">
        <f>IF(OR(A204&gt;'Immobilien-Kalkulation'!$B$70*12,D204&lt;=0),0,D204*C204/12)</f>
        <v>532.63853885022206</v>
      </c>
      <c r="G204" s="53">
        <f>IF(OR(A204&gt;'Immobilien-Kalkulation'!$B$70*12,D204&lt;=0),0,MAX(0,MIN(D204,E204-F204)))</f>
        <v>897.32181724258919</v>
      </c>
      <c r="H204" s="95">
        <v>0</v>
      </c>
      <c r="I204" s="53">
        <f>IF(A204&gt;'Immobilien-Kalkulation'!$B$70*12,0,MAX(0,D204-G204-J204))</f>
        <v>181721.60578854781</v>
      </c>
      <c r="J204" s="53">
        <f>IF(OR(A204&gt;'Immobilien-Kalkulation'!$B$70*12,D204&lt;=0),0,MIN(H204,MAX(0,D204-G204)))</f>
        <v>0</v>
      </c>
    </row>
    <row r="205" spans="1:10" x14ac:dyDescent="0.25">
      <c r="A205">
        <v>202</v>
      </c>
      <c r="B205">
        <f t="shared" si="3"/>
        <v>17</v>
      </c>
      <c r="C205" s="28">
        <f>IF(A205&gt;'Immobilien-Kalkulation'!$B$70*12,0,IF(AND('Immobilien-Kalkulation'!$B$72=1,B205&gt;'Immobilien-Kalkulation'!$B$69),'Immobilien-Kalkulation'!$B$73,'Immobilien-Kalkulation'!$B$65))</f>
        <v>3.5000000000000003E-2</v>
      </c>
      <c r="D205" s="53">
        <f>IF(A205&gt;'Immobilien-Kalkulation'!$B$70*12,0,I204)</f>
        <v>181721.60578854781</v>
      </c>
      <c r="E205" s="53">
        <f>IF(OR(A205&gt;'Immobilien-Kalkulation'!$B$70*12,D205&lt;=0),0,IF(AND('Immobilien-Kalkulation'!$B$72=1,B205&gt;'Immobilien-Kalkulation'!$B$69),MIN(D205*C205/12+'Immobilien-Kalkulation'!$B$74/12,D205*(1+C205/12)),MIN('Immobilien-Kalkulation'!$B$67,D205*(1+C205/12))))</f>
        <v>1429.9603560928113</v>
      </c>
      <c r="F205" s="53">
        <f>IF(OR(A205&gt;'Immobilien-Kalkulation'!$B$70*12,D205&lt;=0),0,D205*C205/12)</f>
        <v>530.02135021659785</v>
      </c>
      <c r="G205" s="53">
        <f>IF(OR(A205&gt;'Immobilien-Kalkulation'!$B$70*12,D205&lt;=0),0,MAX(0,MIN(D205,E205-F205)))</f>
        <v>899.9390058762134</v>
      </c>
      <c r="H205" s="95">
        <v>0</v>
      </c>
      <c r="I205" s="53">
        <f>IF(A205&gt;'Immobilien-Kalkulation'!$B$70*12,0,MAX(0,D205-G205-J205))</f>
        <v>180821.66678267159</v>
      </c>
      <c r="J205" s="53">
        <f>IF(OR(A205&gt;'Immobilien-Kalkulation'!$B$70*12,D205&lt;=0),0,MIN(H205,MAX(0,D205-G205)))</f>
        <v>0</v>
      </c>
    </row>
    <row r="206" spans="1:10" x14ac:dyDescent="0.25">
      <c r="A206">
        <v>203</v>
      </c>
      <c r="B206">
        <f t="shared" si="3"/>
        <v>17</v>
      </c>
      <c r="C206" s="28">
        <f>IF(A206&gt;'Immobilien-Kalkulation'!$B$70*12,0,IF(AND('Immobilien-Kalkulation'!$B$72=1,B206&gt;'Immobilien-Kalkulation'!$B$69),'Immobilien-Kalkulation'!$B$73,'Immobilien-Kalkulation'!$B$65))</f>
        <v>3.5000000000000003E-2</v>
      </c>
      <c r="D206" s="53">
        <f>IF(A206&gt;'Immobilien-Kalkulation'!$B$70*12,0,I205)</f>
        <v>180821.66678267159</v>
      </c>
      <c r="E206" s="53">
        <f>IF(OR(A206&gt;'Immobilien-Kalkulation'!$B$70*12,D206&lt;=0),0,IF(AND('Immobilien-Kalkulation'!$B$72=1,B206&gt;'Immobilien-Kalkulation'!$B$69),MIN(D206*C206/12+'Immobilien-Kalkulation'!$B$74/12,D206*(1+C206/12)),MIN('Immobilien-Kalkulation'!$B$67,D206*(1+C206/12))))</f>
        <v>1429.9603560928113</v>
      </c>
      <c r="F206" s="53">
        <f>IF(OR(A206&gt;'Immobilien-Kalkulation'!$B$70*12,D206&lt;=0),0,D206*C206/12)</f>
        <v>527.39652811612552</v>
      </c>
      <c r="G206" s="53">
        <f>IF(OR(A206&gt;'Immobilien-Kalkulation'!$B$70*12,D206&lt;=0),0,MAX(0,MIN(D206,E206-F206)))</f>
        <v>902.56382797668573</v>
      </c>
      <c r="H206" s="95">
        <v>0</v>
      </c>
      <c r="I206" s="53">
        <f>IF(A206&gt;'Immobilien-Kalkulation'!$B$70*12,0,MAX(0,D206-G206-J206))</f>
        <v>179919.10295469491</v>
      </c>
      <c r="J206" s="53">
        <f>IF(OR(A206&gt;'Immobilien-Kalkulation'!$B$70*12,D206&lt;=0),0,MIN(H206,MAX(0,D206-G206)))</f>
        <v>0</v>
      </c>
    </row>
    <row r="207" spans="1:10" x14ac:dyDescent="0.25">
      <c r="A207">
        <v>204</v>
      </c>
      <c r="B207">
        <f t="shared" si="3"/>
        <v>17</v>
      </c>
      <c r="C207" s="28">
        <f>IF(A207&gt;'Immobilien-Kalkulation'!$B$70*12,0,IF(AND('Immobilien-Kalkulation'!$B$72=1,B207&gt;'Immobilien-Kalkulation'!$B$69),'Immobilien-Kalkulation'!$B$73,'Immobilien-Kalkulation'!$B$65))</f>
        <v>3.5000000000000003E-2</v>
      </c>
      <c r="D207" s="53">
        <f>IF(A207&gt;'Immobilien-Kalkulation'!$B$70*12,0,I206)</f>
        <v>179919.10295469491</v>
      </c>
      <c r="E207" s="53">
        <f>IF(OR(A207&gt;'Immobilien-Kalkulation'!$B$70*12,D207&lt;=0),0,IF(AND('Immobilien-Kalkulation'!$B$72=1,B207&gt;'Immobilien-Kalkulation'!$B$69),MIN(D207*C207/12+'Immobilien-Kalkulation'!$B$74/12,D207*(1+C207/12)),MIN('Immobilien-Kalkulation'!$B$67,D207*(1+C207/12))))</f>
        <v>1429.9603560928113</v>
      </c>
      <c r="F207" s="53">
        <f>IF(OR(A207&gt;'Immobilien-Kalkulation'!$B$70*12,D207&lt;=0),0,D207*C207/12)</f>
        <v>524.76405028452689</v>
      </c>
      <c r="G207" s="53">
        <f>IF(OR(A207&gt;'Immobilien-Kalkulation'!$B$70*12,D207&lt;=0),0,MAX(0,MIN(D207,E207-F207)))</f>
        <v>905.19630580828436</v>
      </c>
      <c r="H207" s="95">
        <v>0</v>
      </c>
      <c r="I207" s="53">
        <f>IF(A207&gt;'Immobilien-Kalkulation'!$B$70*12,0,MAX(0,D207-G207-J207))</f>
        <v>179013.90664888662</v>
      </c>
      <c r="J207" s="53">
        <f>IF(OR(A207&gt;'Immobilien-Kalkulation'!$B$70*12,D207&lt;=0),0,MIN(H207,MAX(0,D207-G207)))</f>
        <v>0</v>
      </c>
    </row>
    <row r="208" spans="1:10" x14ac:dyDescent="0.25">
      <c r="A208">
        <v>205</v>
      </c>
      <c r="B208">
        <f t="shared" si="3"/>
        <v>18</v>
      </c>
      <c r="C208" s="28">
        <f>IF(A208&gt;'Immobilien-Kalkulation'!$B$70*12,0,IF(AND('Immobilien-Kalkulation'!$B$72=1,B208&gt;'Immobilien-Kalkulation'!$B$69),'Immobilien-Kalkulation'!$B$73,'Immobilien-Kalkulation'!$B$65))</f>
        <v>3.5000000000000003E-2</v>
      </c>
      <c r="D208" s="53">
        <f>IF(A208&gt;'Immobilien-Kalkulation'!$B$70*12,0,I207)</f>
        <v>179013.90664888662</v>
      </c>
      <c r="E208" s="53">
        <f>IF(OR(A208&gt;'Immobilien-Kalkulation'!$B$70*12,D208&lt;=0),0,IF(AND('Immobilien-Kalkulation'!$B$72=1,B208&gt;'Immobilien-Kalkulation'!$B$69),MIN(D208*C208/12+'Immobilien-Kalkulation'!$B$74/12,D208*(1+C208/12)),MIN('Immobilien-Kalkulation'!$B$67,D208*(1+C208/12))))</f>
        <v>1429.9603560928113</v>
      </c>
      <c r="F208" s="53">
        <f>IF(OR(A208&gt;'Immobilien-Kalkulation'!$B$70*12,D208&lt;=0),0,D208*C208/12)</f>
        <v>522.12389439258607</v>
      </c>
      <c r="G208" s="53">
        <f>IF(OR(A208&gt;'Immobilien-Kalkulation'!$B$70*12,D208&lt;=0),0,MAX(0,MIN(D208,E208-F208)))</f>
        <v>907.83646170022519</v>
      </c>
      <c r="H208" s="95">
        <v>0</v>
      </c>
      <c r="I208" s="53">
        <f>IF(A208&gt;'Immobilien-Kalkulation'!$B$70*12,0,MAX(0,D208-G208-J208))</f>
        <v>178106.07018718639</v>
      </c>
      <c r="J208" s="53">
        <f>IF(OR(A208&gt;'Immobilien-Kalkulation'!$B$70*12,D208&lt;=0),0,MIN(H208,MAX(0,D208-G208)))</f>
        <v>0</v>
      </c>
    </row>
    <row r="209" spans="1:10" x14ac:dyDescent="0.25">
      <c r="A209">
        <v>206</v>
      </c>
      <c r="B209">
        <f t="shared" si="3"/>
        <v>18</v>
      </c>
      <c r="C209" s="28">
        <f>IF(A209&gt;'Immobilien-Kalkulation'!$B$70*12,0,IF(AND('Immobilien-Kalkulation'!$B$72=1,B209&gt;'Immobilien-Kalkulation'!$B$69),'Immobilien-Kalkulation'!$B$73,'Immobilien-Kalkulation'!$B$65))</f>
        <v>3.5000000000000003E-2</v>
      </c>
      <c r="D209" s="53">
        <f>IF(A209&gt;'Immobilien-Kalkulation'!$B$70*12,0,I208)</f>
        <v>178106.07018718639</v>
      </c>
      <c r="E209" s="53">
        <f>IF(OR(A209&gt;'Immobilien-Kalkulation'!$B$70*12,D209&lt;=0),0,IF(AND('Immobilien-Kalkulation'!$B$72=1,B209&gt;'Immobilien-Kalkulation'!$B$69),MIN(D209*C209/12+'Immobilien-Kalkulation'!$B$74/12,D209*(1+C209/12)),MIN('Immobilien-Kalkulation'!$B$67,D209*(1+C209/12))))</f>
        <v>1429.9603560928113</v>
      </c>
      <c r="F209" s="53">
        <f>IF(OR(A209&gt;'Immobilien-Kalkulation'!$B$70*12,D209&lt;=0),0,D209*C209/12)</f>
        <v>519.47603804596031</v>
      </c>
      <c r="G209" s="53">
        <f>IF(OR(A209&gt;'Immobilien-Kalkulation'!$B$70*12,D209&lt;=0),0,MAX(0,MIN(D209,E209-F209)))</f>
        <v>910.48431804685094</v>
      </c>
      <c r="H209" s="95">
        <v>0</v>
      </c>
      <c r="I209" s="53">
        <f>IF(A209&gt;'Immobilien-Kalkulation'!$B$70*12,0,MAX(0,D209-G209-J209))</f>
        <v>177195.58586913953</v>
      </c>
      <c r="J209" s="53">
        <f>IF(OR(A209&gt;'Immobilien-Kalkulation'!$B$70*12,D209&lt;=0),0,MIN(H209,MAX(0,D209-G209)))</f>
        <v>0</v>
      </c>
    </row>
    <row r="210" spans="1:10" x14ac:dyDescent="0.25">
      <c r="A210">
        <v>207</v>
      </c>
      <c r="B210">
        <f t="shared" si="3"/>
        <v>18</v>
      </c>
      <c r="C210" s="28">
        <f>IF(A210&gt;'Immobilien-Kalkulation'!$B$70*12,0,IF(AND('Immobilien-Kalkulation'!$B$72=1,B210&gt;'Immobilien-Kalkulation'!$B$69),'Immobilien-Kalkulation'!$B$73,'Immobilien-Kalkulation'!$B$65))</f>
        <v>3.5000000000000003E-2</v>
      </c>
      <c r="D210" s="53">
        <f>IF(A210&gt;'Immobilien-Kalkulation'!$B$70*12,0,I209)</f>
        <v>177195.58586913953</v>
      </c>
      <c r="E210" s="53">
        <f>IF(OR(A210&gt;'Immobilien-Kalkulation'!$B$70*12,D210&lt;=0),0,IF(AND('Immobilien-Kalkulation'!$B$72=1,B210&gt;'Immobilien-Kalkulation'!$B$69),MIN(D210*C210/12+'Immobilien-Kalkulation'!$B$74/12,D210*(1+C210/12)),MIN('Immobilien-Kalkulation'!$B$67,D210*(1+C210/12))))</f>
        <v>1429.9603560928113</v>
      </c>
      <c r="F210" s="53">
        <f>IF(OR(A210&gt;'Immobilien-Kalkulation'!$B$70*12,D210&lt;=0),0,D210*C210/12)</f>
        <v>516.82045878499036</v>
      </c>
      <c r="G210" s="53">
        <f>IF(OR(A210&gt;'Immobilien-Kalkulation'!$B$70*12,D210&lt;=0),0,MAX(0,MIN(D210,E210-F210)))</f>
        <v>913.13989730782089</v>
      </c>
      <c r="H210" s="95">
        <v>0</v>
      </c>
      <c r="I210" s="53">
        <f>IF(A210&gt;'Immobilien-Kalkulation'!$B$70*12,0,MAX(0,D210-G210-J210))</f>
        <v>176282.44597183171</v>
      </c>
      <c r="J210" s="53">
        <f>IF(OR(A210&gt;'Immobilien-Kalkulation'!$B$70*12,D210&lt;=0),0,MIN(H210,MAX(0,D210-G210)))</f>
        <v>0</v>
      </c>
    </row>
    <row r="211" spans="1:10" x14ac:dyDescent="0.25">
      <c r="A211">
        <v>208</v>
      </c>
      <c r="B211">
        <f t="shared" si="3"/>
        <v>18</v>
      </c>
      <c r="C211" s="28">
        <f>IF(A211&gt;'Immobilien-Kalkulation'!$B$70*12,0,IF(AND('Immobilien-Kalkulation'!$B$72=1,B211&gt;'Immobilien-Kalkulation'!$B$69),'Immobilien-Kalkulation'!$B$73,'Immobilien-Kalkulation'!$B$65))</f>
        <v>3.5000000000000003E-2</v>
      </c>
      <c r="D211" s="53">
        <f>IF(A211&gt;'Immobilien-Kalkulation'!$B$70*12,0,I210)</f>
        <v>176282.44597183171</v>
      </c>
      <c r="E211" s="53">
        <f>IF(OR(A211&gt;'Immobilien-Kalkulation'!$B$70*12,D211&lt;=0),0,IF(AND('Immobilien-Kalkulation'!$B$72=1,B211&gt;'Immobilien-Kalkulation'!$B$69),MIN(D211*C211/12+'Immobilien-Kalkulation'!$B$74/12,D211*(1+C211/12)),MIN('Immobilien-Kalkulation'!$B$67,D211*(1+C211/12))))</f>
        <v>1429.9603560928113</v>
      </c>
      <c r="F211" s="53">
        <f>IF(OR(A211&gt;'Immobilien-Kalkulation'!$B$70*12,D211&lt;=0),0,D211*C211/12)</f>
        <v>514.15713408450927</v>
      </c>
      <c r="G211" s="53">
        <f>IF(OR(A211&gt;'Immobilien-Kalkulation'!$B$70*12,D211&lt;=0),0,MAX(0,MIN(D211,E211-F211)))</f>
        <v>915.80322200830199</v>
      </c>
      <c r="H211" s="95">
        <v>0</v>
      </c>
      <c r="I211" s="53">
        <f>IF(A211&gt;'Immobilien-Kalkulation'!$B$70*12,0,MAX(0,D211-G211-J211))</f>
        <v>175366.6427498234</v>
      </c>
      <c r="J211" s="53">
        <f>IF(OR(A211&gt;'Immobilien-Kalkulation'!$B$70*12,D211&lt;=0),0,MIN(H211,MAX(0,D211-G211)))</f>
        <v>0</v>
      </c>
    </row>
    <row r="212" spans="1:10" x14ac:dyDescent="0.25">
      <c r="A212">
        <v>209</v>
      </c>
      <c r="B212">
        <f t="shared" si="3"/>
        <v>18</v>
      </c>
      <c r="C212" s="28">
        <f>IF(A212&gt;'Immobilien-Kalkulation'!$B$70*12,0,IF(AND('Immobilien-Kalkulation'!$B$72=1,B212&gt;'Immobilien-Kalkulation'!$B$69),'Immobilien-Kalkulation'!$B$73,'Immobilien-Kalkulation'!$B$65))</f>
        <v>3.5000000000000003E-2</v>
      </c>
      <c r="D212" s="53">
        <f>IF(A212&gt;'Immobilien-Kalkulation'!$B$70*12,0,I211)</f>
        <v>175366.6427498234</v>
      </c>
      <c r="E212" s="53">
        <f>IF(OR(A212&gt;'Immobilien-Kalkulation'!$B$70*12,D212&lt;=0),0,IF(AND('Immobilien-Kalkulation'!$B$72=1,B212&gt;'Immobilien-Kalkulation'!$B$69),MIN(D212*C212/12+'Immobilien-Kalkulation'!$B$74/12,D212*(1+C212/12)),MIN('Immobilien-Kalkulation'!$B$67,D212*(1+C212/12))))</f>
        <v>1429.9603560928113</v>
      </c>
      <c r="F212" s="53">
        <f>IF(OR(A212&gt;'Immobilien-Kalkulation'!$B$70*12,D212&lt;=0),0,D212*C212/12)</f>
        <v>511.48604135365161</v>
      </c>
      <c r="G212" s="53">
        <f>IF(OR(A212&gt;'Immobilien-Kalkulation'!$B$70*12,D212&lt;=0),0,MAX(0,MIN(D212,E212-F212)))</f>
        <v>918.47431473915958</v>
      </c>
      <c r="H212" s="95">
        <v>0</v>
      </c>
      <c r="I212" s="53">
        <f>IF(A212&gt;'Immobilien-Kalkulation'!$B$70*12,0,MAX(0,D212-G212-J212))</f>
        <v>174448.16843508423</v>
      </c>
      <c r="J212" s="53">
        <f>IF(OR(A212&gt;'Immobilien-Kalkulation'!$B$70*12,D212&lt;=0),0,MIN(H212,MAX(0,D212-G212)))</f>
        <v>0</v>
      </c>
    </row>
    <row r="213" spans="1:10" x14ac:dyDescent="0.25">
      <c r="A213">
        <v>210</v>
      </c>
      <c r="B213">
        <f t="shared" si="3"/>
        <v>18</v>
      </c>
      <c r="C213" s="28">
        <f>IF(A213&gt;'Immobilien-Kalkulation'!$B$70*12,0,IF(AND('Immobilien-Kalkulation'!$B$72=1,B213&gt;'Immobilien-Kalkulation'!$B$69),'Immobilien-Kalkulation'!$B$73,'Immobilien-Kalkulation'!$B$65))</f>
        <v>3.5000000000000003E-2</v>
      </c>
      <c r="D213" s="53">
        <f>IF(A213&gt;'Immobilien-Kalkulation'!$B$70*12,0,I212)</f>
        <v>174448.16843508423</v>
      </c>
      <c r="E213" s="53">
        <f>IF(OR(A213&gt;'Immobilien-Kalkulation'!$B$70*12,D213&lt;=0),0,IF(AND('Immobilien-Kalkulation'!$B$72=1,B213&gt;'Immobilien-Kalkulation'!$B$69),MIN(D213*C213/12+'Immobilien-Kalkulation'!$B$74/12,D213*(1+C213/12)),MIN('Immobilien-Kalkulation'!$B$67,D213*(1+C213/12))))</f>
        <v>1429.9603560928113</v>
      </c>
      <c r="F213" s="53">
        <f>IF(OR(A213&gt;'Immobilien-Kalkulation'!$B$70*12,D213&lt;=0),0,D213*C213/12)</f>
        <v>508.80715793566236</v>
      </c>
      <c r="G213" s="53">
        <f>IF(OR(A213&gt;'Immobilien-Kalkulation'!$B$70*12,D213&lt;=0),0,MAX(0,MIN(D213,E213-F213)))</f>
        <v>921.15319815714884</v>
      </c>
      <c r="H213" s="95">
        <v>0</v>
      </c>
      <c r="I213" s="53">
        <f>IF(A213&gt;'Immobilien-Kalkulation'!$B$70*12,0,MAX(0,D213-G213-J213))</f>
        <v>173527.01523692708</v>
      </c>
      <c r="J213" s="53">
        <f>IF(OR(A213&gt;'Immobilien-Kalkulation'!$B$70*12,D213&lt;=0),0,MIN(H213,MAX(0,D213-G213)))</f>
        <v>0</v>
      </c>
    </row>
    <row r="214" spans="1:10" x14ac:dyDescent="0.25">
      <c r="A214">
        <v>211</v>
      </c>
      <c r="B214">
        <f t="shared" si="3"/>
        <v>18</v>
      </c>
      <c r="C214" s="28">
        <f>IF(A214&gt;'Immobilien-Kalkulation'!$B$70*12,0,IF(AND('Immobilien-Kalkulation'!$B$72=1,B214&gt;'Immobilien-Kalkulation'!$B$69),'Immobilien-Kalkulation'!$B$73,'Immobilien-Kalkulation'!$B$65))</f>
        <v>3.5000000000000003E-2</v>
      </c>
      <c r="D214" s="53">
        <f>IF(A214&gt;'Immobilien-Kalkulation'!$B$70*12,0,I213)</f>
        <v>173527.01523692708</v>
      </c>
      <c r="E214" s="53">
        <f>IF(OR(A214&gt;'Immobilien-Kalkulation'!$B$70*12,D214&lt;=0),0,IF(AND('Immobilien-Kalkulation'!$B$72=1,B214&gt;'Immobilien-Kalkulation'!$B$69),MIN(D214*C214/12+'Immobilien-Kalkulation'!$B$74/12,D214*(1+C214/12)),MIN('Immobilien-Kalkulation'!$B$67,D214*(1+C214/12))))</f>
        <v>1429.9603560928113</v>
      </c>
      <c r="F214" s="53">
        <f>IF(OR(A214&gt;'Immobilien-Kalkulation'!$B$70*12,D214&lt;=0),0,D214*C214/12)</f>
        <v>506.12046110770399</v>
      </c>
      <c r="G214" s="53">
        <f>IF(OR(A214&gt;'Immobilien-Kalkulation'!$B$70*12,D214&lt;=0),0,MAX(0,MIN(D214,E214-F214)))</f>
        <v>923.83989498510732</v>
      </c>
      <c r="H214" s="95">
        <v>0</v>
      </c>
      <c r="I214" s="53">
        <f>IF(A214&gt;'Immobilien-Kalkulation'!$B$70*12,0,MAX(0,D214-G214-J214))</f>
        <v>172603.17534194197</v>
      </c>
      <c r="J214" s="53">
        <f>IF(OR(A214&gt;'Immobilien-Kalkulation'!$B$70*12,D214&lt;=0),0,MIN(H214,MAX(0,D214-G214)))</f>
        <v>0</v>
      </c>
    </row>
    <row r="215" spans="1:10" x14ac:dyDescent="0.25">
      <c r="A215">
        <v>212</v>
      </c>
      <c r="B215">
        <f t="shared" si="3"/>
        <v>18</v>
      </c>
      <c r="C215" s="28">
        <f>IF(A215&gt;'Immobilien-Kalkulation'!$B$70*12,0,IF(AND('Immobilien-Kalkulation'!$B$72=1,B215&gt;'Immobilien-Kalkulation'!$B$69),'Immobilien-Kalkulation'!$B$73,'Immobilien-Kalkulation'!$B$65))</f>
        <v>3.5000000000000003E-2</v>
      </c>
      <c r="D215" s="53">
        <f>IF(A215&gt;'Immobilien-Kalkulation'!$B$70*12,0,I214)</f>
        <v>172603.17534194197</v>
      </c>
      <c r="E215" s="53">
        <f>IF(OR(A215&gt;'Immobilien-Kalkulation'!$B$70*12,D215&lt;=0),0,IF(AND('Immobilien-Kalkulation'!$B$72=1,B215&gt;'Immobilien-Kalkulation'!$B$69),MIN(D215*C215/12+'Immobilien-Kalkulation'!$B$74/12,D215*(1+C215/12)),MIN('Immobilien-Kalkulation'!$B$67,D215*(1+C215/12))))</f>
        <v>1429.9603560928113</v>
      </c>
      <c r="F215" s="53">
        <f>IF(OR(A215&gt;'Immobilien-Kalkulation'!$B$70*12,D215&lt;=0),0,D215*C215/12)</f>
        <v>503.42592808066411</v>
      </c>
      <c r="G215" s="53">
        <f>IF(OR(A215&gt;'Immobilien-Kalkulation'!$B$70*12,D215&lt;=0),0,MAX(0,MIN(D215,E215-F215)))</f>
        <v>926.53442801214715</v>
      </c>
      <c r="H215" s="95">
        <v>0</v>
      </c>
      <c r="I215" s="53">
        <f>IF(A215&gt;'Immobilien-Kalkulation'!$B$70*12,0,MAX(0,D215-G215-J215))</f>
        <v>171676.64091392982</v>
      </c>
      <c r="J215" s="53">
        <f>IF(OR(A215&gt;'Immobilien-Kalkulation'!$B$70*12,D215&lt;=0),0,MIN(H215,MAX(0,D215-G215)))</f>
        <v>0</v>
      </c>
    </row>
    <row r="216" spans="1:10" x14ac:dyDescent="0.25">
      <c r="A216">
        <v>213</v>
      </c>
      <c r="B216">
        <f t="shared" si="3"/>
        <v>18</v>
      </c>
      <c r="C216" s="28">
        <f>IF(A216&gt;'Immobilien-Kalkulation'!$B$70*12,0,IF(AND('Immobilien-Kalkulation'!$B$72=1,B216&gt;'Immobilien-Kalkulation'!$B$69),'Immobilien-Kalkulation'!$B$73,'Immobilien-Kalkulation'!$B$65))</f>
        <v>3.5000000000000003E-2</v>
      </c>
      <c r="D216" s="53">
        <f>IF(A216&gt;'Immobilien-Kalkulation'!$B$70*12,0,I215)</f>
        <v>171676.64091392982</v>
      </c>
      <c r="E216" s="53">
        <f>IF(OR(A216&gt;'Immobilien-Kalkulation'!$B$70*12,D216&lt;=0),0,IF(AND('Immobilien-Kalkulation'!$B$72=1,B216&gt;'Immobilien-Kalkulation'!$B$69),MIN(D216*C216/12+'Immobilien-Kalkulation'!$B$74/12,D216*(1+C216/12)),MIN('Immobilien-Kalkulation'!$B$67,D216*(1+C216/12))))</f>
        <v>1429.9603560928113</v>
      </c>
      <c r="F216" s="53">
        <f>IF(OR(A216&gt;'Immobilien-Kalkulation'!$B$70*12,D216&lt;=0),0,D216*C216/12)</f>
        <v>500.72353599896201</v>
      </c>
      <c r="G216" s="53">
        <f>IF(OR(A216&gt;'Immobilien-Kalkulation'!$B$70*12,D216&lt;=0),0,MAX(0,MIN(D216,E216-F216)))</f>
        <v>929.23682009384925</v>
      </c>
      <c r="H216" s="95">
        <v>0</v>
      </c>
      <c r="I216" s="53">
        <f>IF(A216&gt;'Immobilien-Kalkulation'!$B$70*12,0,MAX(0,D216-G216-J216))</f>
        <v>170747.40409383597</v>
      </c>
      <c r="J216" s="53">
        <f>IF(OR(A216&gt;'Immobilien-Kalkulation'!$B$70*12,D216&lt;=0),0,MIN(H216,MAX(0,D216-G216)))</f>
        <v>0</v>
      </c>
    </row>
    <row r="217" spans="1:10" x14ac:dyDescent="0.25">
      <c r="A217">
        <v>214</v>
      </c>
      <c r="B217">
        <f t="shared" si="3"/>
        <v>18</v>
      </c>
      <c r="C217" s="28">
        <f>IF(A217&gt;'Immobilien-Kalkulation'!$B$70*12,0,IF(AND('Immobilien-Kalkulation'!$B$72=1,B217&gt;'Immobilien-Kalkulation'!$B$69),'Immobilien-Kalkulation'!$B$73,'Immobilien-Kalkulation'!$B$65))</f>
        <v>3.5000000000000003E-2</v>
      </c>
      <c r="D217" s="53">
        <f>IF(A217&gt;'Immobilien-Kalkulation'!$B$70*12,0,I216)</f>
        <v>170747.40409383597</v>
      </c>
      <c r="E217" s="53">
        <f>IF(OR(A217&gt;'Immobilien-Kalkulation'!$B$70*12,D217&lt;=0),0,IF(AND('Immobilien-Kalkulation'!$B$72=1,B217&gt;'Immobilien-Kalkulation'!$B$69),MIN(D217*C217/12+'Immobilien-Kalkulation'!$B$74/12,D217*(1+C217/12)),MIN('Immobilien-Kalkulation'!$B$67,D217*(1+C217/12))))</f>
        <v>1429.9603560928113</v>
      </c>
      <c r="F217" s="53">
        <f>IF(OR(A217&gt;'Immobilien-Kalkulation'!$B$70*12,D217&lt;=0),0,D217*C217/12)</f>
        <v>498.01326194035499</v>
      </c>
      <c r="G217" s="53">
        <f>IF(OR(A217&gt;'Immobilien-Kalkulation'!$B$70*12,D217&lt;=0),0,MAX(0,MIN(D217,E217-F217)))</f>
        <v>931.9470941524562</v>
      </c>
      <c r="H217" s="95">
        <v>0</v>
      </c>
      <c r="I217" s="53">
        <f>IF(A217&gt;'Immobilien-Kalkulation'!$B$70*12,0,MAX(0,D217-G217-J217))</f>
        <v>169815.45699968352</v>
      </c>
      <c r="J217" s="53">
        <f>IF(OR(A217&gt;'Immobilien-Kalkulation'!$B$70*12,D217&lt;=0),0,MIN(H217,MAX(0,D217-G217)))</f>
        <v>0</v>
      </c>
    </row>
    <row r="218" spans="1:10" x14ac:dyDescent="0.25">
      <c r="A218">
        <v>215</v>
      </c>
      <c r="B218">
        <f t="shared" si="3"/>
        <v>18</v>
      </c>
      <c r="C218" s="28">
        <f>IF(A218&gt;'Immobilien-Kalkulation'!$B$70*12,0,IF(AND('Immobilien-Kalkulation'!$B$72=1,B218&gt;'Immobilien-Kalkulation'!$B$69),'Immobilien-Kalkulation'!$B$73,'Immobilien-Kalkulation'!$B$65))</f>
        <v>3.5000000000000003E-2</v>
      </c>
      <c r="D218" s="53">
        <f>IF(A218&gt;'Immobilien-Kalkulation'!$B$70*12,0,I217)</f>
        <v>169815.45699968352</v>
      </c>
      <c r="E218" s="53">
        <f>IF(OR(A218&gt;'Immobilien-Kalkulation'!$B$70*12,D218&lt;=0),0,IF(AND('Immobilien-Kalkulation'!$B$72=1,B218&gt;'Immobilien-Kalkulation'!$B$69),MIN(D218*C218/12+'Immobilien-Kalkulation'!$B$74/12,D218*(1+C218/12)),MIN('Immobilien-Kalkulation'!$B$67,D218*(1+C218/12))))</f>
        <v>1429.9603560928113</v>
      </c>
      <c r="F218" s="53">
        <f>IF(OR(A218&gt;'Immobilien-Kalkulation'!$B$70*12,D218&lt;=0),0,D218*C218/12)</f>
        <v>495.29508291574365</v>
      </c>
      <c r="G218" s="53">
        <f>IF(OR(A218&gt;'Immobilien-Kalkulation'!$B$70*12,D218&lt;=0),0,MAX(0,MIN(D218,E218-F218)))</f>
        <v>934.66527317706755</v>
      </c>
      <c r="H218" s="95">
        <v>0</v>
      </c>
      <c r="I218" s="53">
        <f>IF(A218&gt;'Immobilien-Kalkulation'!$B$70*12,0,MAX(0,D218-G218-J218))</f>
        <v>168880.79172650646</v>
      </c>
      <c r="J218" s="53">
        <f>IF(OR(A218&gt;'Immobilien-Kalkulation'!$B$70*12,D218&lt;=0),0,MIN(H218,MAX(0,D218-G218)))</f>
        <v>0</v>
      </c>
    </row>
    <row r="219" spans="1:10" x14ac:dyDescent="0.25">
      <c r="A219">
        <v>216</v>
      </c>
      <c r="B219">
        <f t="shared" si="3"/>
        <v>18</v>
      </c>
      <c r="C219" s="28">
        <f>IF(A219&gt;'Immobilien-Kalkulation'!$B$70*12,0,IF(AND('Immobilien-Kalkulation'!$B$72=1,B219&gt;'Immobilien-Kalkulation'!$B$69),'Immobilien-Kalkulation'!$B$73,'Immobilien-Kalkulation'!$B$65))</f>
        <v>3.5000000000000003E-2</v>
      </c>
      <c r="D219" s="53">
        <f>IF(A219&gt;'Immobilien-Kalkulation'!$B$70*12,0,I218)</f>
        <v>168880.79172650646</v>
      </c>
      <c r="E219" s="53">
        <f>IF(OR(A219&gt;'Immobilien-Kalkulation'!$B$70*12,D219&lt;=0),0,IF(AND('Immobilien-Kalkulation'!$B$72=1,B219&gt;'Immobilien-Kalkulation'!$B$69),MIN(D219*C219/12+'Immobilien-Kalkulation'!$B$74/12,D219*(1+C219/12)),MIN('Immobilien-Kalkulation'!$B$67,D219*(1+C219/12))))</f>
        <v>1429.9603560928113</v>
      </c>
      <c r="F219" s="53">
        <f>IF(OR(A219&gt;'Immobilien-Kalkulation'!$B$70*12,D219&lt;=0),0,D219*C219/12)</f>
        <v>492.56897586897725</v>
      </c>
      <c r="G219" s="53">
        <f>IF(OR(A219&gt;'Immobilien-Kalkulation'!$B$70*12,D219&lt;=0),0,MAX(0,MIN(D219,E219-F219)))</f>
        <v>937.39138022383395</v>
      </c>
      <c r="H219" s="95">
        <v>0</v>
      </c>
      <c r="I219" s="53">
        <f>IF(A219&gt;'Immobilien-Kalkulation'!$B$70*12,0,MAX(0,D219-G219-J219))</f>
        <v>167943.40034628264</v>
      </c>
      <c r="J219" s="53">
        <f>IF(OR(A219&gt;'Immobilien-Kalkulation'!$B$70*12,D219&lt;=0),0,MIN(H219,MAX(0,D219-G219)))</f>
        <v>0</v>
      </c>
    </row>
    <row r="220" spans="1:10" x14ac:dyDescent="0.25">
      <c r="A220">
        <v>217</v>
      </c>
      <c r="B220">
        <f t="shared" si="3"/>
        <v>19</v>
      </c>
      <c r="C220" s="28">
        <f>IF(A220&gt;'Immobilien-Kalkulation'!$B$70*12,0,IF(AND('Immobilien-Kalkulation'!$B$72=1,B220&gt;'Immobilien-Kalkulation'!$B$69),'Immobilien-Kalkulation'!$B$73,'Immobilien-Kalkulation'!$B$65))</f>
        <v>3.5000000000000003E-2</v>
      </c>
      <c r="D220" s="53">
        <f>IF(A220&gt;'Immobilien-Kalkulation'!$B$70*12,0,I219)</f>
        <v>167943.40034628264</v>
      </c>
      <c r="E220" s="53">
        <f>IF(OR(A220&gt;'Immobilien-Kalkulation'!$B$70*12,D220&lt;=0),0,IF(AND('Immobilien-Kalkulation'!$B$72=1,B220&gt;'Immobilien-Kalkulation'!$B$69),MIN(D220*C220/12+'Immobilien-Kalkulation'!$B$74/12,D220*(1+C220/12)),MIN('Immobilien-Kalkulation'!$B$67,D220*(1+C220/12))))</f>
        <v>1429.9603560928113</v>
      </c>
      <c r="F220" s="53">
        <f>IF(OR(A220&gt;'Immobilien-Kalkulation'!$B$70*12,D220&lt;=0),0,D220*C220/12)</f>
        <v>489.83491767665777</v>
      </c>
      <c r="G220" s="53">
        <f>IF(OR(A220&gt;'Immobilien-Kalkulation'!$B$70*12,D220&lt;=0),0,MAX(0,MIN(D220,E220-F220)))</f>
        <v>940.12543841615343</v>
      </c>
      <c r="H220" s="95">
        <v>0</v>
      </c>
      <c r="I220" s="53">
        <f>IF(A220&gt;'Immobilien-Kalkulation'!$B$70*12,0,MAX(0,D220-G220-J220))</f>
        <v>167003.27490786649</v>
      </c>
      <c r="J220" s="53">
        <f>IF(OR(A220&gt;'Immobilien-Kalkulation'!$B$70*12,D220&lt;=0),0,MIN(H220,MAX(0,D220-G220)))</f>
        <v>0</v>
      </c>
    </row>
    <row r="221" spans="1:10" x14ac:dyDescent="0.25">
      <c r="A221">
        <v>218</v>
      </c>
      <c r="B221">
        <f t="shared" si="3"/>
        <v>19</v>
      </c>
      <c r="C221" s="28">
        <f>IF(A221&gt;'Immobilien-Kalkulation'!$B$70*12,0,IF(AND('Immobilien-Kalkulation'!$B$72=1,B221&gt;'Immobilien-Kalkulation'!$B$69),'Immobilien-Kalkulation'!$B$73,'Immobilien-Kalkulation'!$B$65))</f>
        <v>3.5000000000000003E-2</v>
      </c>
      <c r="D221" s="53">
        <f>IF(A221&gt;'Immobilien-Kalkulation'!$B$70*12,0,I220)</f>
        <v>167003.27490786649</v>
      </c>
      <c r="E221" s="53">
        <f>IF(OR(A221&gt;'Immobilien-Kalkulation'!$B$70*12,D221&lt;=0),0,IF(AND('Immobilien-Kalkulation'!$B$72=1,B221&gt;'Immobilien-Kalkulation'!$B$69),MIN(D221*C221/12+'Immobilien-Kalkulation'!$B$74/12,D221*(1+C221/12)),MIN('Immobilien-Kalkulation'!$B$67,D221*(1+C221/12))))</f>
        <v>1429.9603560928113</v>
      </c>
      <c r="F221" s="53">
        <f>IF(OR(A221&gt;'Immobilien-Kalkulation'!$B$70*12,D221&lt;=0),0,D221*C221/12)</f>
        <v>487.09288514794395</v>
      </c>
      <c r="G221" s="53">
        <f>IF(OR(A221&gt;'Immobilien-Kalkulation'!$B$70*12,D221&lt;=0),0,MAX(0,MIN(D221,E221-F221)))</f>
        <v>942.86747094486736</v>
      </c>
      <c r="H221" s="95">
        <v>0</v>
      </c>
      <c r="I221" s="53">
        <f>IF(A221&gt;'Immobilien-Kalkulation'!$B$70*12,0,MAX(0,D221-G221-J221))</f>
        <v>166060.40743692164</v>
      </c>
      <c r="J221" s="53">
        <f>IF(OR(A221&gt;'Immobilien-Kalkulation'!$B$70*12,D221&lt;=0),0,MIN(H221,MAX(0,D221-G221)))</f>
        <v>0</v>
      </c>
    </row>
    <row r="222" spans="1:10" x14ac:dyDescent="0.25">
      <c r="A222">
        <v>219</v>
      </c>
      <c r="B222">
        <f t="shared" si="3"/>
        <v>19</v>
      </c>
      <c r="C222" s="28">
        <f>IF(A222&gt;'Immobilien-Kalkulation'!$B$70*12,0,IF(AND('Immobilien-Kalkulation'!$B$72=1,B222&gt;'Immobilien-Kalkulation'!$B$69),'Immobilien-Kalkulation'!$B$73,'Immobilien-Kalkulation'!$B$65))</f>
        <v>3.5000000000000003E-2</v>
      </c>
      <c r="D222" s="53">
        <f>IF(A222&gt;'Immobilien-Kalkulation'!$B$70*12,0,I221)</f>
        <v>166060.40743692164</v>
      </c>
      <c r="E222" s="53">
        <f>IF(OR(A222&gt;'Immobilien-Kalkulation'!$B$70*12,D222&lt;=0),0,IF(AND('Immobilien-Kalkulation'!$B$72=1,B222&gt;'Immobilien-Kalkulation'!$B$69),MIN(D222*C222/12+'Immobilien-Kalkulation'!$B$74/12,D222*(1+C222/12)),MIN('Immobilien-Kalkulation'!$B$67,D222*(1+C222/12))))</f>
        <v>1429.9603560928113</v>
      </c>
      <c r="F222" s="53">
        <f>IF(OR(A222&gt;'Immobilien-Kalkulation'!$B$70*12,D222&lt;=0),0,D222*C222/12)</f>
        <v>484.34285502435483</v>
      </c>
      <c r="G222" s="53">
        <f>IF(OR(A222&gt;'Immobilien-Kalkulation'!$B$70*12,D222&lt;=0),0,MAX(0,MIN(D222,E222-F222)))</f>
        <v>945.61750106845648</v>
      </c>
      <c r="H222" s="95">
        <v>0</v>
      </c>
      <c r="I222" s="53">
        <f>IF(A222&gt;'Immobilien-Kalkulation'!$B$70*12,0,MAX(0,D222-G222-J222))</f>
        <v>165114.78993585319</v>
      </c>
      <c r="J222" s="53">
        <f>IF(OR(A222&gt;'Immobilien-Kalkulation'!$B$70*12,D222&lt;=0),0,MIN(H222,MAX(0,D222-G222)))</f>
        <v>0</v>
      </c>
    </row>
    <row r="223" spans="1:10" x14ac:dyDescent="0.25">
      <c r="A223">
        <v>220</v>
      </c>
      <c r="B223">
        <f t="shared" si="3"/>
        <v>19</v>
      </c>
      <c r="C223" s="28">
        <f>IF(A223&gt;'Immobilien-Kalkulation'!$B$70*12,0,IF(AND('Immobilien-Kalkulation'!$B$72=1,B223&gt;'Immobilien-Kalkulation'!$B$69),'Immobilien-Kalkulation'!$B$73,'Immobilien-Kalkulation'!$B$65))</f>
        <v>3.5000000000000003E-2</v>
      </c>
      <c r="D223" s="53">
        <f>IF(A223&gt;'Immobilien-Kalkulation'!$B$70*12,0,I222)</f>
        <v>165114.78993585319</v>
      </c>
      <c r="E223" s="53">
        <f>IF(OR(A223&gt;'Immobilien-Kalkulation'!$B$70*12,D223&lt;=0),0,IF(AND('Immobilien-Kalkulation'!$B$72=1,B223&gt;'Immobilien-Kalkulation'!$B$69),MIN(D223*C223/12+'Immobilien-Kalkulation'!$B$74/12,D223*(1+C223/12)),MIN('Immobilien-Kalkulation'!$B$67,D223*(1+C223/12))))</f>
        <v>1429.9603560928113</v>
      </c>
      <c r="F223" s="53">
        <f>IF(OR(A223&gt;'Immobilien-Kalkulation'!$B$70*12,D223&lt;=0),0,D223*C223/12)</f>
        <v>481.58480397957186</v>
      </c>
      <c r="G223" s="53">
        <f>IF(OR(A223&gt;'Immobilien-Kalkulation'!$B$70*12,D223&lt;=0),0,MAX(0,MIN(D223,E223-F223)))</f>
        <v>948.37555211323934</v>
      </c>
      <c r="H223" s="95">
        <v>0</v>
      </c>
      <c r="I223" s="53">
        <f>IF(A223&gt;'Immobilien-Kalkulation'!$B$70*12,0,MAX(0,D223-G223-J223))</f>
        <v>164166.41438373996</v>
      </c>
      <c r="J223" s="53">
        <f>IF(OR(A223&gt;'Immobilien-Kalkulation'!$B$70*12,D223&lt;=0),0,MIN(H223,MAX(0,D223-G223)))</f>
        <v>0</v>
      </c>
    </row>
    <row r="224" spans="1:10" x14ac:dyDescent="0.25">
      <c r="A224">
        <v>221</v>
      </c>
      <c r="B224">
        <f t="shared" si="3"/>
        <v>19</v>
      </c>
      <c r="C224" s="28">
        <f>IF(A224&gt;'Immobilien-Kalkulation'!$B$70*12,0,IF(AND('Immobilien-Kalkulation'!$B$72=1,B224&gt;'Immobilien-Kalkulation'!$B$69),'Immobilien-Kalkulation'!$B$73,'Immobilien-Kalkulation'!$B$65))</f>
        <v>3.5000000000000003E-2</v>
      </c>
      <c r="D224" s="53">
        <f>IF(A224&gt;'Immobilien-Kalkulation'!$B$70*12,0,I223)</f>
        <v>164166.41438373996</v>
      </c>
      <c r="E224" s="53">
        <f>IF(OR(A224&gt;'Immobilien-Kalkulation'!$B$70*12,D224&lt;=0),0,IF(AND('Immobilien-Kalkulation'!$B$72=1,B224&gt;'Immobilien-Kalkulation'!$B$69),MIN(D224*C224/12+'Immobilien-Kalkulation'!$B$74/12,D224*(1+C224/12)),MIN('Immobilien-Kalkulation'!$B$67,D224*(1+C224/12))))</f>
        <v>1429.9603560928113</v>
      </c>
      <c r="F224" s="53">
        <f>IF(OR(A224&gt;'Immobilien-Kalkulation'!$B$70*12,D224&lt;=0),0,D224*C224/12)</f>
        <v>478.81870861924159</v>
      </c>
      <c r="G224" s="53">
        <f>IF(OR(A224&gt;'Immobilien-Kalkulation'!$B$70*12,D224&lt;=0),0,MAX(0,MIN(D224,E224-F224)))</f>
        <v>951.14164747356972</v>
      </c>
      <c r="H224" s="95">
        <v>0</v>
      </c>
      <c r="I224" s="53">
        <f>IF(A224&gt;'Immobilien-Kalkulation'!$B$70*12,0,MAX(0,D224-G224-J224))</f>
        <v>163215.2727362664</v>
      </c>
      <c r="J224" s="53">
        <f>IF(OR(A224&gt;'Immobilien-Kalkulation'!$B$70*12,D224&lt;=0),0,MIN(H224,MAX(0,D224-G224)))</f>
        <v>0</v>
      </c>
    </row>
    <row r="225" spans="1:10" x14ac:dyDescent="0.25">
      <c r="A225">
        <v>222</v>
      </c>
      <c r="B225">
        <f t="shared" si="3"/>
        <v>19</v>
      </c>
      <c r="C225" s="28">
        <f>IF(A225&gt;'Immobilien-Kalkulation'!$B$70*12,0,IF(AND('Immobilien-Kalkulation'!$B$72=1,B225&gt;'Immobilien-Kalkulation'!$B$69),'Immobilien-Kalkulation'!$B$73,'Immobilien-Kalkulation'!$B$65))</f>
        <v>3.5000000000000003E-2</v>
      </c>
      <c r="D225" s="53">
        <f>IF(A225&gt;'Immobilien-Kalkulation'!$B$70*12,0,I224)</f>
        <v>163215.2727362664</v>
      </c>
      <c r="E225" s="53">
        <f>IF(OR(A225&gt;'Immobilien-Kalkulation'!$B$70*12,D225&lt;=0),0,IF(AND('Immobilien-Kalkulation'!$B$72=1,B225&gt;'Immobilien-Kalkulation'!$B$69),MIN(D225*C225/12+'Immobilien-Kalkulation'!$B$74/12,D225*(1+C225/12)),MIN('Immobilien-Kalkulation'!$B$67,D225*(1+C225/12))))</f>
        <v>1429.9603560928113</v>
      </c>
      <c r="F225" s="53">
        <f>IF(OR(A225&gt;'Immobilien-Kalkulation'!$B$70*12,D225&lt;=0),0,D225*C225/12)</f>
        <v>476.04454548077706</v>
      </c>
      <c r="G225" s="53">
        <f>IF(OR(A225&gt;'Immobilien-Kalkulation'!$B$70*12,D225&lt;=0),0,MAX(0,MIN(D225,E225-F225)))</f>
        <v>953.91581061203419</v>
      </c>
      <c r="H225" s="95">
        <v>0</v>
      </c>
      <c r="I225" s="53">
        <f>IF(A225&gt;'Immobilien-Kalkulation'!$B$70*12,0,MAX(0,D225-G225-J225))</f>
        <v>162261.35692565437</v>
      </c>
      <c r="J225" s="53">
        <f>IF(OR(A225&gt;'Immobilien-Kalkulation'!$B$70*12,D225&lt;=0),0,MIN(H225,MAX(0,D225-G225)))</f>
        <v>0</v>
      </c>
    </row>
    <row r="226" spans="1:10" x14ac:dyDescent="0.25">
      <c r="A226">
        <v>223</v>
      </c>
      <c r="B226">
        <f t="shared" si="3"/>
        <v>19</v>
      </c>
      <c r="C226" s="28">
        <f>IF(A226&gt;'Immobilien-Kalkulation'!$B$70*12,0,IF(AND('Immobilien-Kalkulation'!$B$72=1,B226&gt;'Immobilien-Kalkulation'!$B$69),'Immobilien-Kalkulation'!$B$73,'Immobilien-Kalkulation'!$B$65))</f>
        <v>3.5000000000000003E-2</v>
      </c>
      <c r="D226" s="53">
        <f>IF(A226&gt;'Immobilien-Kalkulation'!$B$70*12,0,I225)</f>
        <v>162261.35692565437</v>
      </c>
      <c r="E226" s="53">
        <f>IF(OR(A226&gt;'Immobilien-Kalkulation'!$B$70*12,D226&lt;=0),0,IF(AND('Immobilien-Kalkulation'!$B$72=1,B226&gt;'Immobilien-Kalkulation'!$B$69),MIN(D226*C226/12+'Immobilien-Kalkulation'!$B$74/12,D226*(1+C226/12)),MIN('Immobilien-Kalkulation'!$B$67,D226*(1+C226/12))))</f>
        <v>1429.9603560928113</v>
      </c>
      <c r="F226" s="53">
        <f>IF(OR(A226&gt;'Immobilien-Kalkulation'!$B$70*12,D226&lt;=0),0,D226*C226/12)</f>
        <v>473.26229103315859</v>
      </c>
      <c r="G226" s="53">
        <f>IF(OR(A226&gt;'Immobilien-Kalkulation'!$B$70*12,D226&lt;=0),0,MAX(0,MIN(D226,E226-F226)))</f>
        <v>956.69806505965266</v>
      </c>
      <c r="H226" s="95">
        <v>0</v>
      </c>
      <c r="I226" s="53">
        <f>IF(A226&gt;'Immobilien-Kalkulation'!$B$70*12,0,MAX(0,D226-G226-J226))</f>
        <v>161304.6588605947</v>
      </c>
      <c r="J226" s="53">
        <f>IF(OR(A226&gt;'Immobilien-Kalkulation'!$B$70*12,D226&lt;=0),0,MIN(H226,MAX(0,D226-G226)))</f>
        <v>0</v>
      </c>
    </row>
    <row r="227" spans="1:10" x14ac:dyDescent="0.25">
      <c r="A227">
        <v>224</v>
      </c>
      <c r="B227">
        <f t="shared" si="3"/>
        <v>19</v>
      </c>
      <c r="C227" s="28">
        <f>IF(A227&gt;'Immobilien-Kalkulation'!$B$70*12,0,IF(AND('Immobilien-Kalkulation'!$B$72=1,B227&gt;'Immobilien-Kalkulation'!$B$69),'Immobilien-Kalkulation'!$B$73,'Immobilien-Kalkulation'!$B$65))</f>
        <v>3.5000000000000003E-2</v>
      </c>
      <c r="D227" s="53">
        <f>IF(A227&gt;'Immobilien-Kalkulation'!$B$70*12,0,I226)</f>
        <v>161304.6588605947</v>
      </c>
      <c r="E227" s="53">
        <f>IF(OR(A227&gt;'Immobilien-Kalkulation'!$B$70*12,D227&lt;=0),0,IF(AND('Immobilien-Kalkulation'!$B$72=1,B227&gt;'Immobilien-Kalkulation'!$B$69),MIN(D227*C227/12+'Immobilien-Kalkulation'!$B$74/12,D227*(1+C227/12)),MIN('Immobilien-Kalkulation'!$B$67,D227*(1+C227/12))))</f>
        <v>1429.9603560928113</v>
      </c>
      <c r="F227" s="53">
        <f>IF(OR(A227&gt;'Immobilien-Kalkulation'!$B$70*12,D227&lt;=0),0,D227*C227/12)</f>
        <v>470.47192167673461</v>
      </c>
      <c r="G227" s="53">
        <f>IF(OR(A227&gt;'Immobilien-Kalkulation'!$B$70*12,D227&lt;=0),0,MAX(0,MIN(D227,E227-F227)))</f>
        <v>959.48843441607664</v>
      </c>
      <c r="H227" s="95">
        <v>0</v>
      </c>
      <c r="I227" s="53">
        <f>IF(A227&gt;'Immobilien-Kalkulation'!$B$70*12,0,MAX(0,D227-G227-J227))</f>
        <v>160345.17042617864</v>
      </c>
      <c r="J227" s="53">
        <f>IF(OR(A227&gt;'Immobilien-Kalkulation'!$B$70*12,D227&lt;=0),0,MIN(H227,MAX(0,D227-G227)))</f>
        <v>0</v>
      </c>
    </row>
    <row r="228" spans="1:10" x14ac:dyDescent="0.25">
      <c r="A228">
        <v>225</v>
      </c>
      <c r="B228">
        <f t="shared" si="3"/>
        <v>19</v>
      </c>
      <c r="C228" s="28">
        <f>IF(A228&gt;'Immobilien-Kalkulation'!$B$70*12,0,IF(AND('Immobilien-Kalkulation'!$B$72=1,B228&gt;'Immobilien-Kalkulation'!$B$69),'Immobilien-Kalkulation'!$B$73,'Immobilien-Kalkulation'!$B$65))</f>
        <v>3.5000000000000003E-2</v>
      </c>
      <c r="D228" s="53">
        <f>IF(A228&gt;'Immobilien-Kalkulation'!$B$70*12,0,I227)</f>
        <v>160345.17042617864</v>
      </c>
      <c r="E228" s="53">
        <f>IF(OR(A228&gt;'Immobilien-Kalkulation'!$B$70*12,D228&lt;=0),0,IF(AND('Immobilien-Kalkulation'!$B$72=1,B228&gt;'Immobilien-Kalkulation'!$B$69),MIN(D228*C228/12+'Immobilien-Kalkulation'!$B$74/12,D228*(1+C228/12)),MIN('Immobilien-Kalkulation'!$B$67,D228*(1+C228/12))))</f>
        <v>1429.9603560928113</v>
      </c>
      <c r="F228" s="53">
        <f>IF(OR(A228&gt;'Immobilien-Kalkulation'!$B$70*12,D228&lt;=0),0,D228*C228/12)</f>
        <v>467.67341374302106</v>
      </c>
      <c r="G228" s="53">
        <f>IF(OR(A228&gt;'Immobilien-Kalkulation'!$B$70*12,D228&lt;=0),0,MAX(0,MIN(D228,E228-F228)))</f>
        <v>962.28694234979025</v>
      </c>
      <c r="H228" s="95">
        <v>0</v>
      </c>
      <c r="I228" s="53">
        <f>IF(A228&gt;'Immobilien-Kalkulation'!$B$70*12,0,MAX(0,D228-G228-J228))</f>
        <v>159382.88348382886</v>
      </c>
      <c r="J228" s="53">
        <f>IF(OR(A228&gt;'Immobilien-Kalkulation'!$B$70*12,D228&lt;=0),0,MIN(H228,MAX(0,D228-G228)))</f>
        <v>0</v>
      </c>
    </row>
    <row r="229" spans="1:10" x14ac:dyDescent="0.25">
      <c r="A229">
        <v>226</v>
      </c>
      <c r="B229">
        <f t="shared" si="3"/>
        <v>19</v>
      </c>
      <c r="C229" s="28">
        <f>IF(A229&gt;'Immobilien-Kalkulation'!$B$70*12,0,IF(AND('Immobilien-Kalkulation'!$B$72=1,B229&gt;'Immobilien-Kalkulation'!$B$69),'Immobilien-Kalkulation'!$B$73,'Immobilien-Kalkulation'!$B$65))</f>
        <v>3.5000000000000003E-2</v>
      </c>
      <c r="D229" s="53">
        <f>IF(A229&gt;'Immobilien-Kalkulation'!$B$70*12,0,I228)</f>
        <v>159382.88348382886</v>
      </c>
      <c r="E229" s="53">
        <f>IF(OR(A229&gt;'Immobilien-Kalkulation'!$B$70*12,D229&lt;=0),0,IF(AND('Immobilien-Kalkulation'!$B$72=1,B229&gt;'Immobilien-Kalkulation'!$B$69),MIN(D229*C229/12+'Immobilien-Kalkulation'!$B$74/12,D229*(1+C229/12)),MIN('Immobilien-Kalkulation'!$B$67,D229*(1+C229/12))))</f>
        <v>1429.9603560928113</v>
      </c>
      <c r="F229" s="53">
        <f>IF(OR(A229&gt;'Immobilien-Kalkulation'!$B$70*12,D229&lt;=0),0,D229*C229/12)</f>
        <v>464.86674349450089</v>
      </c>
      <c r="G229" s="53">
        <f>IF(OR(A229&gt;'Immobilien-Kalkulation'!$B$70*12,D229&lt;=0),0,MAX(0,MIN(D229,E229-F229)))</f>
        <v>965.0936125983103</v>
      </c>
      <c r="H229" s="95">
        <v>0</v>
      </c>
      <c r="I229" s="53">
        <f>IF(A229&gt;'Immobilien-Kalkulation'!$B$70*12,0,MAX(0,D229-G229-J229))</f>
        <v>158417.78987123055</v>
      </c>
      <c r="J229" s="53">
        <f>IF(OR(A229&gt;'Immobilien-Kalkulation'!$B$70*12,D229&lt;=0),0,MIN(H229,MAX(0,D229-G229)))</f>
        <v>0</v>
      </c>
    </row>
    <row r="230" spans="1:10" x14ac:dyDescent="0.25">
      <c r="A230">
        <v>227</v>
      </c>
      <c r="B230">
        <f t="shared" si="3"/>
        <v>19</v>
      </c>
      <c r="C230" s="28">
        <f>IF(A230&gt;'Immobilien-Kalkulation'!$B$70*12,0,IF(AND('Immobilien-Kalkulation'!$B$72=1,B230&gt;'Immobilien-Kalkulation'!$B$69),'Immobilien-Kalkulation'!$B$73,'Immobilien-Kalkulation'!$B$65))</f>
        <v>3.5000000000000003E-2</v>
      </c>
      <c r="D230" s="53">
        <f>IF(A230&gt;'Immobilien-Kalkulation'!$B$70*12,0,I229)</f>
        <v>158417.78987123055</v>
      </c>
      <c r="E230" s="53">
        <f>IF(OR(A230&gt;'Immobilien-Kalkulation'!$B$70*12,D230&lt;=0),0,IF(AND('Immobilien-Kalkulation'!$B$72=1,B230&gt;'Immobilien-Kalkulation'!$B$69),MIN(D230*C230/12+'Immobilien-Kalkulation'!$B$74/12,D230*(1+C230/12)),MIN('Immobilien-Kalkulation'!$B$67,D230*(1+C230/12))))</f>
        <v>1429.9603560928113</v>
      </c>
      <c r="F230" s="53">
        <f>IF(OR(A230&gt;'Immobilien-Kalkulation'!$B$70*12,D230&lt;=0),0,D230*C230/12)</f>
        <v>462.05188712442242</v>
      </c>
      <c r="G230" s="53">
        <f>IF(OR(A230&gt;'Immobilien-Kalkulation'!$B$70*12,D230&lt;=0),0,MAX(0,MIN(D230,E230-F230)))</f>
        <v>967.90846896838889</v>
      </c>
      <c r="H230" s="95">
        <v>0</v>
      </c>
      <c r="I230" s="53">
        <f>IF(A230&gt;'Immobilien-Kalkulation'!$B$70*12,0,MAX(0,D230-G230-J230))</f>
        <v>157449.88140226217</v>
      </c>
      <c r="J230" s="53">
        <f>IF(OR(A230&gt;'Immobilien-Kalkulation'!$B$70*12,D230&lt;=0),0,MIN(H230,MAX(0,D230-G230)))</f>
        <v>0</v>
      </c>
    </row>
    <row r="231" spans="1:10" x14ac:dyDescent="0.25">
      <c r="A231">
        <v>228</v>
      </c>
      <c r="B231">
        <f t="shared" si="3"/>
        <v>19</v>
      </c>
      <c r="C231" s="28">
        <f>IF(A231&gt;'Immobilien-Kalkulation'!$B$70*12,0,IF(AND('Immobilien-Kalkulation'!$B$72=1,B231&gt;'Immobilien-Kalkulation'!$B$69),'Immobilien-Kalkulation'!$B$73,'Immobilien-Kalkulation'!$B$65))</f>
        <v>3.5000000000000003E-2</v>
      </c>
      <c r="D231" s="53">
        <f>IF(A231&gt;'Immobilien-Kalkulation'!$B$70*12,0,I230)</f>
        <v>157449.88140226217</v>
      </c>
      <c r="E231" s="53">
        <f>IF(OR(A231&gt;'Immobilien-Kalkulation'!$B$70*12,D231&lt;=0),0,IF(AND('Immobilien-Kalkulation'!$B$72=1,B231&gt;'Immobilien-Kalkulation'!$B$69),MIN(D231*C231/12+'Immobilien-Kalkulation'!$B$74/12,D231*(1+C231/12)),MIN('Immobilien-Kalkulation'!$B$67,D231*(1+C231/12))))</f>
        <v>1429.9603560928113</v>
      </c>
      <c r="F231" s="53">
        <f>IF(OR(A231&gt;'Immobilien-Kalkulation'!$B$70*12,D231&lt;=0),0,D231*C231/12)</f>
        <v>459.228820756598</v>
      </c>
      <c r="G231" s="53">
        <f>IF(OR(A231&gt;'Immobilien-Kalkulation'!$B$70*12,D231&lt;=0),0,MAX(0,MIN(D231,E231-F231)))</f>
        <v>970.73153533621326</v>
      </c>
      <c r="H231" s="95">
        <v>0</v>
      </c>
      <c r="I231" s="53">
        <f>IF(A231&gt;'Immobilien-Kalkulation'!$B$70*12,0,MAX(0,D231-G231-J231))</f>
        <v>156479.14986692596</v>
      </c>
      <c r="J231" s="53">
        <f>IF(OR(A231&gt;'Immobilien-Kalkulation'!$B$70*12,D231&lt;=0),0,MIN(H231,MAX(0,D231-G231)))</f>
        <v>0</v>
      </c>
    </row>
    <row r="232" spans="1:10" x14ac:dyDescent="0.25">
      <c r="A232">
        <v>229</v>
      </c>
      <c r="B232">
        <f t="shared" si="3"/>
        <v>20</v>
      </c>
      <c r="C232" s="28">
        <f>IF(A232&gt;'Immobilien-Kalkulation'!$B$70*12,0,IF(AND('Immobilien-Kalkulation'!$B$72=1,B232&gt;'Immobilien-Kalkulation'!$B$69),'Immobilien-Kalkulation'!$B$73,'Immobilien-Kalkulation'!$B$65))</f>
        <v>3.5000000000000003E-2</v>
      </c>
      <c r="D232" s="53">
        <f>IF(A232&gt;'Immobilien-Kalkulation'!$B$70*12,0,I231)</f>
        <v>156479.14986692596</v>
      </c>
      <c r="E232" s="53">
        <f>IF(OR(A232&gt;'Immobilien-Kalkulation'!$B$70*12,D232&lt;=0),0,IF(AND('Immobilien-Kalkulation'!$B$72=1,B232&gt;'Immobilien-Kalkulation'!$B$69),MIN(D232*C232/12+'Immobilien-Kalkulation'!$B$74/12,D232*(1+C232/12)),MIN('Immobilien-Kalkulation'!$B$67,D232*(1+C232/12))))</f>
        <v>1429.9603560928113</v>
      </c>
      <c r="F232" s="53">
        <f>IF(OR(A232&gt;'Immobilien-Kalkulation'!$B$70*12,D232&lt;=0),0,D232*C232/12)</f>
        <v>456.39752044520077</v>
      </c>
      <c r="G232" s="53">
        <f>IF(OR(A232&gt;'Immobilien-Kalkulation'!$B$70*12,D232&lt;=0),0,MAX(0,MIN(D232,E232-F232)))</f>
        <v>973.56283564761043</v>
      </c>
      <c r="H232" s="95">
        <v>0</v>
      </c>
      <c r="I232" s="53">
        <f>IF(A232&gt;'Immobilien-Kalkulation'!$B$70*12,0,MAX(0,D232-G232-J232))</f>
        <v>155505.58703127835</v>
      </c>
      <c r="J232" s="53">
        <f>IF(OR(A232&gt;'Immobilien-Kalkulation'!$B$70*12,D232&lt;=0),0,MIN(H232,MAX(0,D232-G232)))</f>
        <v>0</v>
      </c>
    </row>
    <row r="233" spans="1:10" x14ac:dyDescent="0.25">
      <c r="A233">
        <v>230</v>
      </c>
      <c r="B233">
        <f t="shared" si="3"/>
        <v>20</v>
      </c>
      <c r="C233" s="28">
        <f>IF(A233&gt;'Immobilien-Kalkulation'!$B$70*12,0,IF(AND('Immobilien-Kalkulation'!$B$72=1,B233&gt;'Immobilien-Kalkulation'!$B$69),'Immobilien-Kalkulation'!$B$73,'Immobilien-Kalkulation'!$B$65))</f>
        <v>3.5000000000000003E-2</v>
      </c>
      <c r="D233" s="53">
        <f>IF(A233&gt;'Immobilien-Kalkulation'!$B$70*12,0,I232)</f>
        <v>155505.58703127835</v>
      </c>
      <c r="E233" s="53">
        <f>IF(OR(A233&gt;'Immobilien-Kalkulation'!$B$70*12,D233&lt;=0),0,IF(AND('Immobilien-Kalkulation'!$B$72=1,B233&gt;'Immobilien-Kalkulation'!$B$69),MIN(D233*C233/12+'Immobilien-Kalkulation'!$B$74/12,D233*(1+C233/12)),MIN('Immobilien-Kalkulation'!$B$67,D233*(1+C233/12))))</f>
        <v>1429.9603560928113</v>
      </c>
      <c r="F233" s="53">
        <f>IF(OR(A233&gt;'Immobilien-Kalkulation'!$B$70*12,D233&lt;=0),0,D233*C233/12)</f>
        <v>453.55796217456191</v>
      </c>
      <c r="G233" s="53">
        <f>IF(OR(A233&gt;'Immobilien-Kalkulation'!$B$70*12,D233&lt;=0),0,MAX(0,MIN(D233,E233-F233)))</f>
        <v>976.40239391824935</v>
      </c>
      <c r="H233" s="95">
        <v>0</v>
      </c>
      <c r="I233" s="53">
        <f>IF(A233&gt;'Immobilien-Kalkulation'!$B$70*12,0,MAX(0,D233-G233-J233))</f>
        <v>154529.1846373601</v>
      </c>
      <c r="J233" s="53">
        <f>IF(OR(A233&gt;'Immobilien-Kalkulation'!$B$70*12,D233&lt;=0),0,MIN(H233,MAX(0,D233-G233)))</f>
        <v>0</v>
      </c>
    </row>
    <row r="234" spans="1:10" x14ac:dyDescent="0.25">
      <c r="A234">
        <v>231</v>
      </c>
      <c r="B234">
        <f t="shared" si="3"/>
        <v>20</v>
      </c>
      <c r="C234" s="28">
        <f>IF(A234&gt;'Immobilien-Kalkulation'!$B$70*12,0,IF(AND('Immobilien-Kalkulation'!$B$72=1,B234&gt;'Immobilien-Kalkulation'!$B$69),'Immobilien-Kalkulation'!$B$73,'Immobilien-Kalkulation'!$B$65))</f>
        <v>3.5000000000000003E-2</v>
      </c>
      <c r="D234" s="53">
        <f>IF(A234&gt;'Immobilien-Kalkulation'!$B$70*12,0,I233)</f>
        <v>154529.1846373601</v>
      </c>
      <c r="E234" s="53">
        <f>IF(OR(A234&gt;'Immobilien-Kalkulation'!$B$70*12,D234&lt;=0),0,IF(AND('Immobilien-Kalkulation'!$B$72=1,B234&gt;'Immobilien-Kalkulation'!$B$69),MIN(D234*C234/12+'Immobilien-Kalkulation'!$B$74/12,D234*(1+C234/12)),MIN('Immobilien-Kalkulation'!$B$67,D234*(1+C234/12))))</f>
        <v>1429.9603560928113</v>
      </c>
      <c r="F234" s="53">
        <f>IF(OR(A234&gt;'Immobilien-Kalkulation'!$B$70*12,D234&lt;=0),0,D234*C234/12)</f>
        <v>450.71012185896706</v>
      </c>
      <c r="G234" s="53">
        <f>IF(OR(A234&gt;'Immobilien-Kalkulation'!$B$70*12,D234&lt;=0),0,MAX(0,MIN(D234,E234-F234)))</f>
        <v>979.25023423384414</v>
      </c>
      <c r="H234" s="95">
        <v>0</v>
      </c>
      <c r="I234" s="53">
        <f>IF(A234&gt;'Immobilien-Kalkulation'!$B$70*12,0,MAX(0,D234-G234-J234))</f>
        <v>153549.93440312624</v>
      </c>
      <c r="J234" s="53">
        <f>IF(OR(A234&gt;'Immobilien-Kalkulation'!$B$70*12,D234&lt;=0),0,MIN(H234,MAX(0,D234-G234)))</f>
        <v>0</v>
      </c>
    </row>
    <row r="235" spans="1:10" x14ac:dyDescent="0.25">
      <c r="A235">
        <v>232</v>
      </c>
      <c r="B235">
        <f t="shared" si="3"/>
        <v>20</v>
      </c>
      <c r="C235" s="28">
        <f>IF(A235&gt;'Immobilien-Kalkulation'!$B$70*12,0,IF(AND('Immobilien-Kalkulation'!$B$72=1,B235&gt;'Immobilien-Kalkulation'!$B$69),'Immobilien-Kalkulation'!$B$73,'Immobilien-Kalkulation'!$B$65))</f>
        <v>3.5000000000000003E-2</v>
      </c>
      <c r="D235" s="53">
        <f>IF(A235&gt;'Immobilien-Kalkulation'!$B$70*12,0,I234)</f>
        <v>153549.93440312624</v>
      </c>
      <c r="E235" s="53">
        <f>IF(OR(A235&gt;'Immobilien-Kalkulation'!$B$70*12,D235&lt;=0),0,IF(AND('Immobilien-Kalkulation'!$B$72=1,B235&gt;'Immobilien-Kalkulation'!$B$69),MIN(D235*C235/12+'Immobilien-Kalkulation'!$B$74/12,D235*(1+C235/12)),MIN('Immobilien-Kalkulation'!$B$67,D235*(1+C235/12))))</f>
        <v>1429.9603560928113</v>
      </c>
      <c r="F235" s="53">
        <f>IF(OR(A235&gt;'Immobilien-Kalkulation'!$B$70*12,D235&lt;=0),0,D235*C235/12)</f>
        <v>447.85397534245158</v>
      </c>
      <c r="G235" s="53">
        <f>IF(OR(A235&gt;'Immobilien-Kalkulation'!$B$70*12,D235&lt;=0),0,MAX(0,MIN(D235,E235-F235)))</f>
        <v>982.10638075035968</v>
      </c>
      <c r="H235" s="95">
        <v>0</v>
      </c>
      <c r="I235" s="53">
        <f>IF(A235&gt;'Immobilien-Kalkulation'!$B$70*12,0,MAX(0,D235-G235-J235))</f>
        <v>152567.82802237588</v>
      </c>
      <c r="J235" s="53">
        <f>IF(OR(A235&gt;'Immobilien-Kalkulation'!$B$70*12,D235&lt;=0),0,MIN(H235,MAX(0,D235-G235)))</f>
        <v>0</v>
      </c>
    </row>
    <row r="236" spans="1:10" x14ac:dyDescent="0.25">
      <c r="A236">
        <v>233</v>
      </c>
      <c r="B236">
        <f t="shared" si="3"/>
        <v>20</v>
      </c>
      <c r="C236" s="28">
        <f>IF(A236&gt;'Immobilien-Kalkulation'!$B$70*12,0,IF(AND('Immobilien-Kalkulation'!$B$72=1,B236&gt;'Immobilien-Kalkulation'!$B$69),'Immobilien-Kalkulation'!$B$73,'Immobilien-Kalkulation'!$B$65))</f>
        <v>3.5000000000000003E-2</v>
      </c>
      <c r="D236" s="53">
        <f>IF(A236&gt;'Immobilien-Kalkulation'!$B$70*12,0,I235)</f>
        <v>152567.82802237588</v>
      </c>
      <c r="E236" s="53">
        <f>IF(OR(A236&gt;'Immobilien-Kalkulation'!$B$70*12,D236&lt;=0),0,IF(AND('Immobilien-Kalkulation'!$B$72=1,B236&gt;'Immobilien-Kalkulation'!$B$69),MIN(D236*C236/12+'Immobilien-Kalkulation'!$B$74/12,D236*(1+C236/12)),MIN('Immobilien-Kalkulation'!$B$67,D236*(1+C236/12))))</f>
        <v>1429.9603560928113</v>
      </c>
      <c r="F236" s="53">
        <f>IF(OR(A236&gt;'Immobilien-Kalkulation'!$B$70*12,D236&lt;=0),0,D236*C236/12)</f>
        <v>444.98949839859637</v>
      </c>
      <c r="G236" s="53">
        <f>IF(OR(A236&gt;'Immobilien-Kalkulation'!$B$70*12,D236&lt;=0),0,MAX(0,MIN(D236,E236-F236)))</f>
        <v>984.97085769421483</v>
      </c>
      <c r="H236" s="95">
        <v>0</v>
      </c>
      <c r="I236" s="53">
        <f>IF(A236&gt;'Immobilien-Kalkulation'!$B$70*12,0,MAX(0,D236-G236-J236))</f>
        <v>151582.85716468166</v>
      </c>
      <c r="J236" s="53">
        <f>IF(OR(A236&gt;'Immobilien-Kalkulation'!$B$70*12,D236&lt;=0),0,MIN(H236,MAX(0,D236-G236)))</f>
        <v>0</v>
      </c>
    </row>
    <row r="237" spans="1:10" x14ac:dyDescent="0.25">
      <c r="A237">
        <v>234</v>
      </c>
      <c r="B237">
        <f t="shared" si="3"/>
        <v>20</v>
      </c>
      <c r="C237" s="28">
        <f>IF(A237&gt;'Immobilien-Kalkulation'!$B$70*12,0,IF(AND('Immobilien-Kalkulation'!$B$72=1,B237&gt;'Immobilien-Kalkulation'!$B$69),'Immobilien-Kalkulation'!$B$73,'Immobilien-Kalkulation'!$B$65))</f>
        <v>3.5000000000000003E-2</v>
      </c>
      <c r="D237" s="53">
        <f>IF(A237&gt;'Immobilien-Kalkulation'!$B$70*12,0,I236)</f>
        <v>151582.85716468166</v>
      </c>
      <c r="E237" s="53">
        <f>IF(OR(A237&gt;'Immobilien-Kalkulation'!$B$70*12,D237&lt;=0),0,IF(AND('Immobilien-Kalkulation'!$B$72=1,B237&gt;'Immobilien-Kalkulation'!$B$69),MIN(D237*C237/12+'Immobilien-Kalkulation'!$B$74/12,D237*(1+C237/12)),MIN('Immobilien-Kalkulation'!$B$67,D237*(1+C237/12))))</f>
        <v>1429.9603560928113</v>
      </c>
      <c r="F237" s="53">
        <f>IF(OR(A237&gt;'Immobilien-Kalkulation'!$B$70*12,D237&lt;=0),0,D237*C237/12)</f>
        <v>442.11666673032158</v>
      </c>
      <c r="G237" s="53">
        <f>IF(OR(A237&gt;'Immobilien-Kalkulation'!$B$70*12,D237&lt;=0),0,MAX(0,MIN(D237,E237-F237)))</f>
        <v>987.84368936248961</v>
      </c>
      <c r="H237" s="95">
        <v>0</v>
      </c>
      <c r="I237" s="53">
        <f>IF(A237&gt;'Immobilien-Kalkulation'!$B$70*12,0,MAX(0,D237-G237-J237))</f>
        <v>150595.01347531917</v>
      </c>
      <c r="J237" s="53">
        <f>IF(OR(A237&gt;'Immobilien-Kalkulation'!$B$70*12,D237&lt;=0),0,MIN(H237,MAX(0,D237-G237)))</f>
        <v>0</v>
      </c>
    </row>
    <row r="238" spans="1:10" x14ac:dyDescent="0.25">
      <c r="A238">
        <v>235</v>
      </c>
      <c r="B238">
        <f t="shared" si="3"/>
        <v>20</v>
      </c>
      <c r="C238" s="28">
        <f>IF(A238&gt;'Immobilien-Kalkulation'!$B$70*12,0,IF(AND('Immobilien-Kalkulation'!$B$72=1,B238&gt;'Immobilien-Kalkulation'!$B$69),'Immobilien-Kalkulation'!$B$73,'Immobilien-Kalkulation'!$B$65))</f>
        <v>3.5000000000000003E-2</v>
      </c>
      <c r="D238" s="53">
        <f>IF(A238&gt;'Immobilien-Kalkulation'!$B$70*12,0,I237)</f>
        <v>150595.01347531917</v>
      </c>
      <c r="E238" s="53">
        <f>IF(OR(A238&gt;'Immobilien-Kalkulation'!$B$70*12,D238&lt;=0),0,IF(AND('Immobilien-Kalkulation'!$B$72=1,B238&gt;'Immobilien-Kalkulation'!$B$69),MIN(D238*C238/12+'Immobilien-Kalkulation'!$B$74/12,D238*(1+C238/12)),MIN('Immobilien-Kalkulation'!$B$67,D238*(1+C238/12))))</f>
        <v>1429.9603560928113</v>
      </c>
      <c r="F238" s="53">
        <f>IF(OR(A238&gt;'Immobilien-Kalkulation'!$B$70*12,D238&lt;=0),0,D238*C238/12)</f>
        <v>439.23545596968097</v>
      </c>
      <c r="G238" s="53">
        <f>IF(OR(A238&gt;'Immobilien-Kalkulation'!$B$70*12,D238&lt;=0),0,MAX(0,MIN(D238,E238-F238)))</f>
        <v>990.72490012313028</v>
      </c>
      <c r="H238" s="95">
        <v>0</v>
      </c>
      <c r="I238" s="53">
        <f>IF(A238&gt;'Immobilien-Kalkulation'!$B$70*12,0,MAX(0,D238-G238-J238))</f>
        <v>149604.28857519603</v>
      </c>
      <c r="J238" s="53">
        <f>IF(OR(A238&gt;'Immobilien-Kalkulation'!$B$70*12,D238&lt;=0),0,MIN(H238,MAX(0,D238-G238)))</f>
        <v>0</v>
      </c>
    </row>
    <row r="239" spans="1:10" x14ac:dyDescent="0.25">
      <c r="A239">
        <v>236</v>
      </c>
      <c r="B239">
        <f t="shared" si="3"/>
        <v>20</v>
      </c>
      <c r="C239" s="28">
        <f>IF(A239&gt;'Immobilien-Kalkulation'!$B$70*12,0,IF(AND('Immobilien-Kalkulation'!$B$72=1,B239&gt;'Immobilien-Kalkulation'!$B$69),'Immobilien-Kalkulation'!$B$73,'Immobilien-Kalkulation'!$B$65))</f>
        <v>3.5000000000000003E-2</v>
      </c>
      <c r="D239" s="53">
        <f>IF(A239&gt;'Immobilien-Kalkulation'!$B$70*12,0,I238)</f>
        <v>149604.28857519603</v>
      </c>
      <c r="E239" s="53">
        <f>IF(OR(A239&gt;'Immobilien-Kalkulation'!$B$70*12,D239&lt;=0),0,IF(AND('Immobilien-Kalkulation'!$B$72=1,B239&gt;'Immobilien-Kalkulation'!$B$69),MIN(D239*C239/12+'Immobilien-Kalkulation'!$B$74/12,D239*(1+C239/12)),MIN('Immobilien-Kalkulation'!$B$67,D239*(1+C239/12))))</f>
        <v>1429.9603560928113</v>
      </c>
      <c r="F239" s="53">
        <f>IF(OR(A239&gt;'Immobilien-Kalkulation'!$B$70*12,D239&lt;=0),0,D239*C239/12)</f>
        <v>436.34584167765507</v>
      </c>
      <c r="G239" s="53">
        <f>IF(OR(A239&gt;'Immobilien-Kalkulation'!$B$70*12,D239&lt;=0),0,MAX(0,MIN(D239,E239-F239)))</f>
        <v>993.61451441515624</v>
      </c>
      <c r="H239" s="95">
        <v>0</v>
      </c>
      <c r="I239" s="53">
        <f>IF(A239&gt;'Immobilien-Kalkulation'!$B$70*12,0,MAX(0,D239-G239-J239))</f>
        <v>148610.67406078088</v>
      </c>
      <c r="J239" s="53">
        <f>IF(OR(A239&gt;'Immobilien-Kalkulation'!$B$70*12,D239&lt;=0),0,MIN(H239,MAX(0,D239-G239)))</f>
        <v>0</v>
      </c>
    </row>
    <row r="240" spans="1:10" x14ac:dyDescent="0.25">
      <c r="A240">
        <v>237</v>
      </c>
      <c r="B240">
        <f t="shared" si="3"/>
        <v>20</v>
      </c>
      <c r="C240" s="28">
        <f>IF(A240&gt;'Immobilien-Kalkulation'!$B$70*12,0,IF(AND('Immobilien-Kalkulation'!$B$72=1,B240&gt;'Immobilien-Kalkulation'!$B$69),'Immobilien-Kalkulation'!$B$73,'Immobilien-Kalkulation'!$B$65))</f>
        <v>3.5000000000000003E-2</v>
      </c>
      <c r="D240" s="53">
        <f>IF(A240&gt;'Immobilien-Kalkulation'!$B$70*12,0,I239)</f>
        <v>148610.67406078088</v>
      </c>
      <c r="E240" s="53">
        <f>IF(OR(A240&gt;'Immobilien-Kalkulation'!$B$70*12,D240&lt;=0),0,IF(AND('Immobilien-Kalkulation'!$B$72=1,B240&gt;'Immobilien-Kalkulation'!$B$69),MIN(D240*C240/12+'Immobilien-Kalkulation'!$B$74/12,D240*(1+C240/12)),MIN('Immobilien-Kalkulation'!$B$67,D240*(1+C240/12))))</f>
        <v>1429.9603560928113</v>
      </c>
      <c r="F240" s="53">
        <f>IF(OR(A240&gt;'Immobilien-Kalkulation'!$B$70*12,D240&lt;=0),0,D240*C240/12)</f>
        <v>433.44779934394427</v>
      </c>
      <c r="G240" s="53">
        <f>IF(OR(A240&gt;'Immobilien-Kalkulation'!$B$70*12,D240&lt;=0),0,MAX(0,MIN(D240,E240-F240)))</f>
        <v>996.51255674886693</v>
      </c>
      <c r="H240" s="95">
        <v>0</v>
      </c>
      <c r="I240" s="53">
        <f>IF(A240&gt;'Immobilien-Kalkulation'!$B$70*12,0,MAX(0,D240-G240-J240))</f>
        <v>147614.161504032</v>
      </c>
      <c r="J240" s="53">
        <f>IF(OR(A240&gt;'Immobilien-Kalkulation'!$B$70*12,D240&lt;=0),0,MIN(H240,MAX(0,D240-G240)))</f>
        <v>0</v>
      </c>
    </row>
    <row r="241" spans="1:10" x14ac:dyDescent="0.25">
      <c r="A241">
        <v>238</v>
      </c>
      <c r="B241">
        <f t="shared" si="3"/>
        <v>20</v>
      </c>
      <c r="C241" s="28">
        <f>IF(A241&gt;'Immobilien-Kalkulation'!$B$70*12,0,IF(AND('Immobilien-Kalkulation'!$B$72=1,B241&gt;'Immobilien-Kalkulation'!$B$69),'Immobilien-Kalkulation'!$B$73,'Immobilien-Kalkulation'!$B$65))</f>
        <v>3.5000000000000003E-2</v>
      </c>
      <c r="D241" s="53">
        <f>IF(A241&gt;'Immobilien-Kalkulation'!$B$70*12,0,I240)</f>
        <v>147614.161504032</v>
      </c>
      <c r="E241" s="53">
        <f>IF(OR(A241&gt;'Immobilien-Kalkulation'!$B$70*12,D241&lt;=0),0,IF(AND('Immobilien-Kalkulation'!$B$72=1,B241&gt;'Immobilien-Kalkulation'!$B$69),MIN(D241*C241/12+'Immobilien-Kalkulation'!$B$74/12,D241*(1+C241/12)),MIN('Immobilien-Kalkulation'!$B$67,D241*(1+C241/12))))</f>
        <v>1429.9603560928113</v>
      </c>
      <c r="F241" s="53">
        <f>IF(OR(A241&gt;'Immobilien-Kalkulation'!$B$70*12,D241&lt;=0),0,D241*C241/12)</f>
        <v>430.54130438676003</v>
      </c>
      <c r="G241" s="53">
        <f>IF(OR(A241&gt;'Immobilien-Kalkulation'!$B$70*12,D241&lt;=0),0,MAX(0,MIN(D241,E241-F241)))</f>
        <v>999.41905170605128</v>
      </c>
      <c r="H241" s="95">
        <v>0</v>
      </c>
      <c r="I241" s="53">
        <f>IF(A241&gt;'Immobilien-Kalkulation'!$B$70*12,0,MAX(0,D241-G241-J241))</f>
        <v>146614.74245232594</v>
      </c>
      <c r="J241" s="53">
        <f>IF(OR(A241&gt;'Immobilien-Kalkulation'!$B$70*12,D241&lt;=0),0,MIN(H241,MAX(0,D241-G241)))</f>
        <v>0</v>
      </c>
    </row>
    <row r="242" spans="1:10" x14ac:dyDescent="0.25">
      <c r="A242">
        <v>239</v>
      </c>
      <c r="B242">
        <f t="shared" si="3"/>
        <v>20</v>
      </c>
      <c r="C242" s="28">
        <f>IF(A242&gt;'Immobilien-Kalkulation'!$B$70*12,0,IF(AND('Immobilien-Kalkulation'!$B$72=1,B242&gt;'Immobilien-Kalkulation'!$B$69),'Immobilien-Kalkulation'!$B$73,'Immobilien-Kalkulation'!$B$65))</f>
        <v>3.5000000000000003E-2</v>
      </c>
      <c r="D242" s="53">
        <f>IF(A242&gt;'Immobilien-Kalkulation'!$B$70*12,0,I241)</f>
        <v>146614.74245232594</v>
      </c>
      <c r="E242" s="53">
        <f>IF(OR(A242&gt;'Immobilien-Kalkulation'!$B$70*12,D242&lt;=0),0,IF(AND('Immobilien-Kalkulation'!$B$72=1,B242&gt;'Immobilien-Kalkulation'!$B$69),MIN(D242*C242/12+'Immobilien-Kalkulation'!$B$74/12,D242*(1+C242/12)),MIN('Immobilien-Kalkulation'!$B$67,D242*(1+C242/12))))</f>
        <v>1429.9603560928113</v>
      </c>
      <c r="F242" s="53">
        <f>IF(OR(A242&gt;'Immobilien-Kalkulation'!$B$70*12,D242&lt;=0),0,D242*C242/12)</f>
        <v>427.62633215261735</v>
      </c>
      <c r="G242" s="53">
        <f>IF(OR(A242&gt;'Immobilien-Kalkulation'!$B$70*12,D242&lt;=0),0,MAX(0,MIN(D242,E242-F242)))</f>
        <v>1002.3340239401939</v>
      </c>
      <c r="H242" s="95">
        <v>0</v>
      </c>
      <c r="I242" s="53">
        <f>IF(A242&gt;'Immobilien-Kalkulation'!$B$70*12,0,MAX(0,D242-G242-J242))</f>
        <v>145612.40842838574</v>
      </c>
      <c r="J242" s="53">
        <f>IF(OR(A242&gt;'Immobilien-Kalkulation'!$B$70*12,D242&lt;=0),0,MIN(H242,MAX(0,D242-G242)))</f>
        <v>0</v>
      </c>
    </row>
    <row r="243" spans="1:10" x14ac:dyDescent="0.25">
      <c r="A243">
        <v>240</v>
      </c>
      <c r="B243">
        <f t="shared" si="3"/>
        <v>20</v>
      </c>
      <c r="C243" s="28">
        <f>IF(A243&gt;'Immobilien-Kalkulation'!$B$70*12,0,IF(AND('Immobilien-Kalkulation'!$B$72=1,B243&gt;'Immobilien-Kalkulation'!$B$69),'Immobilien-Kalkulation'!$B$73,'Immobilien-Kalkulation'!$B$65))</f>
        <v>3.5000000000000003E-2</v>
      </c>
      <c r="D243" s="53">
        <f>IF(A243&gt;'Immobilien-Kalkulation'!$B$70*12,0,I242)</f>
        <v>145612.40842838574</v>
      </c>
      <c r="E243" s="53">
        <f>IF(OR(A243&gt;'Immobilien-Kalkulation'!$B$70*12,D243&lt;=0),0,IF(AND('Immobilien-Kalkulation'!$B$72=1,B243&gt;'Immobilien-Kalkulation'!$B$69),MIN(D243*C243/12+'Immobilien-Kalkulation'!$B$74/12,D243*(1+C243/12)),MIN('Immobilien-Kalkulation'!$B$67,D243*(1+C243/12))))</f>
        <v>1429.9603560928113</v>
      </c>
      <c r="F243" s="53">
        <f>IF(OR(A243&gt;'Immobilien-Kalkulation'!$B$70*12,D243&lt;=0),0,D243*C243/12)</f>
        <v>424.70285791612514</v>
      </c>
      <c r="G243" s="53">
        <f>IF(OR(A243&gt;'Immobilien-Kalkulation'!$B$70*12,D243&lt;=0),0,MAX(0,MIN(D243,E243-F243)))</f>
        <v>1005.2574981766861</v>
      </c>
      <c r="H243" s="95">
        <v>0</v>
      </c>
      <c r="I243" s="53">
        <f>IF(A243&gt;'Immobilien-Kalkulation'!$B$70*12,0,MAX(0,D243-G243-J243))</f>
        <v>144607.15093020906</v>
      </c>
      <c r="J243" s="53">
        <f>IF(OR(A243&gt;'Immobilien-Kalkulation'!$B$70*12,D243&lt;=0),0,MIN(H243,MAX(0,D243-G243)))</f>
        <v>0</v>
      </c>
    </row>
    <row r="244" spans="1:10" x14ac:dyDescent="0.25">
      <c r="A244">
        <v>241</v>
      </c>
      <c r="B244">
        <f t="shared" si="3"/>
        <v>21</v>
      </c>
      <c r="C244" s="28">
        <f>IF(A244&gt;'Immobilien-Kalkulation'!$B$70*12,0,IF(AND('Immobilien-Kalkulation'!$B$72=1,B244&gt;'Immobilien-Kalkulation'!$B$69),'Immobilien-Kalkulation'!$B$73,'Immobilien-Kalkulation'!$B$65))</f>
        <v>3.5000000000000003E-2</v>
      </c>
      <c r="D244" s="53">
        <f>IF(A244&gt;'Immobilien-Kalkulation'!$B$70*12,0,I243)</f>
        <v>144607.15093020906</v>
      </c>
      <c r="E244" s="53">
        <f>IF(OR(A244&gt;'Immobilien-Kalkulation'!$B$70*12,D244&lt;=0),0,IF(AND('Immobilien-Kalkulation'!$B$72=1,B244&gt;'Immobilien-Kalkulation'!$B$69),MIN(D244*C244/12+'Immobilien-Kalkulation'!$B$74/12,D244*(1+C244/12)),MIN('Immobilien-Kalkulation'!$B$67,D244*(1+C244/12))))</f>
        <v>1429.9603560928113</v>
      </c>
      <c r="F244" s="53">
        <f>IF(OR(A244&gt;'Immobilien-Kalkulation'!$B$70*12,D244&lt;=0),0,D244*C244/12)</f>
        <v>421.77085687977643</v>
      </c>
      <c r="G244" s="53">
        <f>IF(OR(A244&gt;'Immobilien-Kalkulation'!$B$70*12,D244&lt;=0),0,MAX(0,MIN(D244,E244-F244)))</f>
        <v>1008.1894992130349</v>
      </c>
      <c r="H244" s="95">
        <v>0</v>
      </c>
      <c r="I244" s="53">
        <f>IF(A244&gt;'Immobilien-Kalkulation'!$B$70*12,0,MAX(0,D244-G244-J244))</f>
        <v>143598.96143099602</v>
      </c>
      <c r="J244" s="53">
        <f>IF(OR(A244&gt;'Immobilien-Kalkulation'!$B$70*12,D244&lt;=0),0,MIN(H244,MAX(0,D244-G244)))</f>
        <v>0</v>
      </c>
    </row>
    <row r="245" spans="1:10" x14ac:dyDescent="0.25">
      <c r="A245">
        <v>242</v>
      </c>
      <c r="B245">
        <f t="shared" si="3"/>
        <v>21</v>
      </c>
      <c r="C245" s="28">
        <f>IF(A245&gt;'Immobilien-Kalkulation'!$B$70*12,0,IF(AND('Immobilien-Kalkulation'!$B$72=1,B245&gt;'Immobilien-Kalkulation'!$B$69),'Immobilien-Kalkulation'!$B$73,'Immobilien-Kalkulation'!$B$65))</f>
        <v>3.5000000000000003E-2</v>
      </c>
      <c r="D245" s="53">
        <f>IF(A245&gt;'Immobilien-Kalkulation'!$B$70*12,0,I244)</f>
        <v>143598.96143099602</v>
      </c>
      <c r="E245" s="53">
        <f>IF(OR(A245&gt;'Immobilien-Kalkulation'!$B$70*12,D245&lt;=0),0,IF(AND('Immobilien-Kalkulation'!$B$72=1,B245&gt;'Immobilien-Kalkulation'!$B$69),MIN(D245*C245/12+'Immobilien-Kalkulation'!$B$74/12,D245*(1+C245/12)),MIN('Immobilien-Kalkulation'!$B$67,D245*(1+C245/12))))</f>
        <v>1429.9603560928113</v>
      </c>
      <c r="F245" s="53">
        <f>IF(OR(A245&gt;'Immobilien-Kalkulation'!$B$70*12,D245&lt;=0),0,D245*C245/12)</f>
        <v>418.8303041737384</v>
      </c>
      <c r="G245" s="53">
        <f>IF(OR(A245&gt;'Immobilien-Kalkulation'!$B$70*12,D245&lt;=0),0,MAX(0,MIN(D245,E245-F245)))</f>
        <v>1011.1300519190729</v>
      </c>
      <c r="H245" s="95">
        <v>0</v>
      </c>
      <c r="I245" s="53">
        <f>IF(A245&gt;'Immobilien-Kalkulation'!$B$70*12,0,MAX(0,D245-G245-J245))</f>
        <v>142587.83137907693</v>
      </c>
      <c r="J245" s="53">
        <f>IF(OR(A245&gt;'Immobilien-Kalkulation'!$B$70*12,D245&lt;=0),0,MIN(H245,MAX(0,D245-G245)))</f>
        <v>0</v>
      </c>
    </row>
    <row r="246" spans="1:10" x14ac:dyDescent="0.25">
      <c r="A246">
        <v>243</v>
      </c>
      <c r="B246">
        <f t="shared" si="3"/>
        <v>21</v>
      </c>
      <c r="C246" s="28">
        <f>IF(A246&gt;'Immobilien-Kalkulation'!$B$70*12,0,IF(AND('Immobilien-Kalkulation'!$B$72=1,B246&gt;'Immobilien-Kalkulation'!$B$69),'Immobilien-Kalkulation'!$B$73,'Immobilien-Kalkulation'!$B$65))</f>
        <v>3.5000000000000003E-2</v>
      </c>
      <c r="D246" s="53">
        <f>IF(A246&gt;'Immobilien-Kalkulation'!$B$70*12,0,I245)</f>
        <v>142587.83137907693</v>
      </c>
      <c r="E246" s="53">
        <f>IF(OR(A246&gt;'Immobilien-Kalkulation'!$B$70*12,D246&lt;=0),0,IF(AND('Immobilien-Kalkulation'!$B$72=1,B246&gt;'Immobilien-Kalkulation'!$B$69),MIN(D246*C246/12+'Immobilien-Kalkulation'!$B$74/12,D246*(1+C246/12)),MIN('Immobilien-Kalkulation'!$B$67,D246*(1+C246/12))))</f>
        <v>1429.9603560928113</v>
      </c>
      <c r="F246" s="53">
        <f>IF(OR(A246&gt;'Immobilien-Kalkulation'!$B$70*12,D246&lt;=0),0,D246*C246/12)</f>
        <v>415.88117485564112</v>
      </c>
      <c r="G246" s="53">
        <f>IF(OR(A246&gt;'Immobilien-Kalkulation'!$B$70*12,D246&lt;=0),0,MAX(0,MIN(D246,E246-F246)))</f>
        <v>1014.0791812371701</v>
      </c>
      <c r="H246" s="95">
        <v>0</v>
      </c>
      <c r="I246" s="53">
        <f>IF(A246&gt;'Immobilien-Kalkulation'!$B$70*12,0,MAX(0,D246-G246-J246))</f>
        <v>141573.75219783976</v>
      </c>
      <c r="J246" s="53">
        <f>IF(OR(A246&gt;'Immobilien-Kalkulation'!$B$70*12,D246&lt;=0),0,MIN(H246,MAX(0,D246-G246)))</f>
        <v>0</v>
      </c>
    </row>
    <row r="247" spans="1:10" x14ac:dyDescent="0.25">
      <c r="A247">
        <v>244</v>
      </c>
      <c r="B247">
        <f t="shared" si="3"/>
        <v>21</v>
      </c>
      <c r="C247" s="28">
        <f>IF(A247&gt;'Immobilien-Kalkulation'!$B$70*12,0,IF(AND('Immobilien-Kalkulation'!$B$72=1,B247&gt;'Immobilien-Kalkulation'!$B$69),'Immobilien-Kalkulation'!$B$73,'Immobilien-Kalkulation'!$B$65))</f>
        <v>3.5000000000000003E-2</v>
      </c>
      <c r="D247" s="53">
        <f>IF(A247&gt;'Immobilien-Kalkulation'!$B$70*12,0,I246)</f>
        <v>141573.75219783976</v>
      </c>
      <c r="E247" s="53">
        <f>IF(OR(A247&gt;'Immobilien-Kalkulation'!$B$70*12,D247&lt;=0),0,IF(AND('Immobilien-Kalkulation'!$B$72=1,B247&gt;'Immobilien-Kalkulation'!$B$69),MIN(D247*C247/12+'Immobilien-Kalkulation'!$B$74/12,D247*(1+C247/12)),MIN('Immobilien-Kalkulation'!$B$67,D247*(1+C247/12))))</f>
        <v>1429.9603560928113</v>
      </c>
      <c r="F247" s="53">
        <f>IF(OR(A247&gt;'Immobilien-Kalkulation'!$B$70*12,D247&lt;=0),0,D247*C247/12)</f>
        <v>412.92344391036596</v>
      </c>
      <c r="G247" s="53">
        <f>IF(OR(A247&gt;'Immobilien-Kalkulation'!$B$70*12,D247&lt;=0),0,MAX(0,MIN(D247,E247-F247)))</f>
        <v>1017.0369121824453</v>
      </c>
      <c r="H247" s="95">
        <v>0</v>
      </c>
      <c r="I247" s="53">
        <f>IF(A247&gt;'Immobilien-Kalkulation'!$B$70*12,0,MAX(0,D247-G247-J247))</f>
        <v>140556.71528565732</v>
      </c>
      <c r="J247" s="53">
        <f>IF(OR(A247&gt;'Immobilien-Kalkulation'!$B$70*12,D247&lt;=0),0,MIN(H247,MAX(0,D247-G247)))</f>
        <v>0</v>
      </c>
    </row>
    <row r="248" spans="1:10" x14ac:dyDescent="0.25">
      <c r="A248">
        <v>245</v>
      </c>
      <c r="B248">
        <f t="shared" si="3"/>
        <v>21</v>
      </c>
      <c r="C248" s="28">
        <f>IF(A248&gt;'Immobilien-Kalkulation'!$B$70*12,0,IF(AND('Immobilien-Kalkulation'!$B$72=1,B248&gt;'Immobilien-Kalkulation'!$B$69),'Immobilien-Kalkulation'!$B$73,'Immobilien-Kalkulation'!$B$65))</f>
        <v>3.5000000000000003E-2</v>
      </c>
      <c r="D248" s="53">
        <f>IF(A248&gt;'Immobilien-Kalkulation'!$B$70*12,0,I247)</f>
        <v>140556.71528565732</v>
      </c>
      <c r="E248" s="53">
        <f>IF(OR(A248&gt;'Immobilien-Kalkulation'!$B$70*12,D248&lt;=0),0,IF(AND('Immobilien-Kalkulation'!$B$72=1,B248&gt;'Immobilien-Kalkulation'!$B$69),MIN(D248*C248/12+'Immobilien-Kalkulation'!$B$74/12,D248*(1+C248/12)),MIN('Immobilien-Kalkulation'!$B$67,D248*(1+C248/12))))</f>
        <v>1429.9603560928113</v>
      </c>
      <c r="F248" s="53">
        <f>IF(OR(A248&gt;'Immobilien-Kalkulation'!$B$70*12,D248&lt;=0),0,D248*C248/12)</f>
        <v>409.95708624983394</v>
      </c>
      <c r="G248" s="53">
        <f>IF(OR(A248&gt;'Immobilien-Kalkulation'!$B$70*12,D248&lt;=0),0,MAX(0,MIN(D248,E248-F248)))</f>
        <v>1020.0032698429773</v>
      </c>
      <c r="H248" s="95">
        <v>0</v>
      </c>
      <c r="I248" s="53">
        <f>IF(A248&gt;'Immobilien-Kalkulation'!$B$70*12,0,MAX(0,D248-G248-J248))</f>
        <v>139536.71201581435</v>
      </c>
      <c r="J248" s="53">
        <f>IF(OR(A248&gt;'Immobilien-Kalkulation'!$B$70*12,D248&lt;=0),0,MIN(H248,MAX(0,D248-G248)))</f>
        <v>0</v>
      </c>
    </row>
    <row r="249" spans="1:10" x14ac:dyDescent="0.25">
      <c r="A249">
        <v>246</v>
      </c>
      <c r="B249">
        <f t="shared" si="3"/>
        <v>21</v>
      </c>
      <c r="C249" s="28">
        <f>IF(A249&gt;'Immobilien-Kalkulation'!$B$70*12,0,IF(AND('Immobilien-Kalkulation'!$B$72=1,B249&gt;'Immobilien-Kalkulation'!$B$69),'Immobilien-Kalkulation'!$B$73,'Immobilien-Kalkulation'!$B$65))</f>
        <v>3.5000000000000003E-2</v>
      </c>
      <c r="D249" s="53">
        <f>IF(A249&gt;'Immobilien-Kalkulation'!$B$70*12,0,I248)</f>
        <v>139536.71201581435</v>
      </c>
      <c r="E249" s="53">
        <f>IF(OR(A249&gt;'Immobilien-Kalkulation'!$B$70*12,D249&lt;=0),0,IF(AND('Immobilien-Kalkulation'!$B$72=1,B249&gt;'Immobilien-Kalkulation'!$B$69),MIN(D249*C249/12+'Immobilien-Kalkulation'!$B$74/12,D249*(1+C249/12)),MIN('Immobilien-Kalkulation'!$B$67,D249*(1+C249/12))))</f>
        <v>1429.9603560928113</v>
      </c>
      <c r="F249" s="53">
        <f>IF(OR(A249&gt;'Immobilien-Kalkulation'!$B$70*12,D249&lt;=0),0,D249*C249/12)</f>
        <v>406.98207671279192</v>
      </c>
      <c r="G249" s="53">
        <f>IF(OR(A249&gt;'Immobilien-Kalkulation'!$B$70*12,D249&lt;=0),0,MAX(0,MIN(D249,E249-F249)))</f>
        <v>1022.9782793800193</v>
      </c>
      <c r="H249" s="95">
        <v>0</v>
      </c>
      <c r="I249" s="53">
        <f>IF(A249&gt;'Immobilien-Kalkulation'!$B$70*12,0,MAX(0,D249-G249-J249))</f>
        <v>138513.73373643434</v>
      </c>
      <c r="J249" s="53">
        <f>IF(OR(A249&gt;'Immobilien-Kalkulation'!$B$70*12,D249&lt;=0),0,MIN(H249,MAX(0,D249-G249)))</f>
        <v>0</v>
      </c>
    </row>
    <row r="250" spans="1:10" x14ac:dyDescent="0.25">
      <c r="A250">
        <v>247</v>
      </c>
      <c r="B250">
        <f t="shared" si="3"/>
        <v>21</v>
      </c>
      <c r="C250" s="28">
        <f>IF(A250&gt;'Immobilien-Kalkulation'!$B$70*12,0,IF(AND('Immobilien-Kalkulation'!$B$72=1,B250&gt;'Immobilien-Kalkulation'!$B$69),'Immobilien-Kalkulation'!$B$73,'Immobilien-Kalkulation'!$B$65))</f>
        <v>3.5000000000000003E-2</v>
      </c>
      <c r="D250" s="53">
        <f>IF(A250&gt;'Immobilien-Kalkulation'!$B$70*12,0,I249)</f>
        <v>138513.73373643434</v>
      </c>
      <c r="E250" s="53">
        <f>IF(OR(A250&gt;'Immobilien-Kalkulation'!$B$70*12,D250&lt;=0),0,IF(AND('Immobilien-Kalkulation'!$B$72=1,B250&gt;'Immobilien-Kalkulation'!$B$69),MIN(D250*C250/12+'Immobilien-Kalkulation'!$B$74/12,D250*(1+C250/12)),MIN('Immobilien-Kalkulation'!$B$67,D250*(1+C250/12))))</f>
        <v>1429.9603560928113</v>
      </c>
      <c r="F250" s="53">
        <f>IF(OR(A250&gt;'Immobilien-Kalkulation'!$B$70*12,D250&lt;=0),0,D250*C250/12)</f>
        <v>403.99839006460019</v>
      </c>
      <c r="G250" s="53">
        <f>IF(OR(A250&gt;'Immobilien-Kalkulation'!$B$70*12,D250&lt;=0),0,MAX(0,MIN(D250,E250-F250)))</f>
        <v>1025.961966028211</v>
      </c>
      <c r="H250" s="95">
        <v>0</v>
      </c>
      <c r="I250" s="53">
        <f>IF(A250&gt;'Immobilien-Kalkulation'!$B$70*12,0,MAX(0,D250-G250-J250))</f>
        <v>137487.77177040614</v>
      </c>
      <c r="J250" s="53">
        <f>IF(OR(A250&gt;'Immobilien-Kalkulation'!$B$70*12,D250&lt;=0),0,MIN(H250,MAX(0,D250-G250)))</f>
        <v>0</v>
      </c>
    </row>
    <row r="251" spans="1:10" x14ac:dyDescent="0.25">
      <c r="A251">
        <v>248</v>
      </c>
      <c r="B251">
        <f t="shared" si="3"/>
        <v>21</v>
      </c>
      <c r="C251" s="28">
        <f>IF(A251&gt;'Immobilien-Kalkulation'!$B$70*12,0,IF(AND('Immobilien-Kalkulation'!$B$72=1,B251&gt;'Immobilien-Kalkulation'!$B$69),'Immobilien-Kalkulation'!$B$73,'Immobilien-Kalkulation'!$B$65))</f>
        <v>3.5000000000000003E-2</v>
      </c>
      <c r="D251" s="53">
        <f>IF(A251&gt;'Immobilien-Kalkulation'!$B$70*12,0,I250)</f>
        <v>137487.77177040614</v>
      </c>
      <c r="E251" s="53">
        <f>IF(OR(A251&gt;'Immobilien-Kalkulation'!$B$70*12,D251&lt;=0),0,IF(AND('Immobilien-Kalkulation'!$B$72=1,B251&gt;'Immobilien-Kalkulation'!$B$69),MIN(D251*C251/12+'Immobilien-Kalkulation'!$B$74/12,D251*(1+C251/12)),MIN('Immobilien-Kalkulation'!$B$67,D251*(1+C251/12))))</f>
        <v>1429.9603560928113</v>
      </c>
      <c r="F251" s="53">
        <f>IF(OR(A251&gt;'Immobilien-Kalkulation'!$B$70*12,D251&lt;=0),0,D251*C251/12)</f>
        <v>401.00600099701796</v>
      </c>
      <c r="G251" s="53">
        <f>IF(OR(A251&gt;'Immobilien-Kalkulation'!$B$70*12,D251&lt;=0),0,MAX(0,MIN(D251,E251-F251)))</f>
        <v>1028.9543550957933</v>
      </c>
      <c r="H251" s="95">
        <v>0</v>
      </c>
      <c r="I251" s="53">
        <f>IF(A251&gt;'Immobilien-Kalkulation'!$B$70*12,0,MAX(0,D251-G251-J251))</f>
        <v>136458.81741531033</v>
      </c>
      <c r="J251" s="53">
        <f>IF(OR(A251&gt;'Immobilien-Kalkulation'!$B$70*12,D251&lt;=0),0,MIN(H251,MAX(0,D251-G251)))</f>
        <v>0</v>
      </c>
    </row>
    <row r="252" spans="1:10" x14ac:dyDescent="0.25">
      <c r="A252">
        <v>249</v>
      </c>
      <c r="B252">
        <f t="shared" si="3"/>
        <v>21</v>
      </c>
      <c r="C252" s="28">
        <f>IF(A252&gt;'Immobilien-Kalkulation'!$B$70*12,0,IF(AND('Immobilien-Kalkulation'!$B$72=1,B252&gt;'Immobilien-Kalkulation'!$B$69),'Immobilien-Kalkulation'!$B$73,'Immobilien-Kalkulation'!$B$65))</f>
        <v>3.5000000000000003E-2</v>
      </c>
      <c r="D252" s="53">
        <f>IF(A252&gt;'Immobilien-Kalkulation'!$B$70*12,0,I251)</f>
        <v>136458.81741531033</v>
      </c>
      <c r="E252" s="53">
        <f>IF(OR(A252&gt;'Immobilien-Kalkulation'!$B$70*12,D252&lt;=0),0,IF(AND('Immobilien-Kalkulation'!$B$72=1,B252&gt;'Immobilien-Kalkulation'!$B$69),MIN(D252*C252/12+'Immobilien-Kalkulation'!$B$74/12,D252*(1+C252/12)),MIN('Immobilien-Kalkulation'!$B$67,D252*(1+C252/12))))</f>
        <v>1429.9603560928113</v>
      </c>
      <c r="F252" s="53">
        <f>IF(OR(A252&gt;'Immobilien-Kalkulation'!$B$70*12,D252&lt;=0),0,D252*C252/12)</f>
        <v>398.00488412798853</v>
      </c>
      <c r="G252" s="53">
        <f>IF(OR(A252&gt;'Immobilien-Kalkulation'!$B$70*12,D252&lt;=0),0,MAX(0,MIN(D252,E252-F252)))</f>
        <v>1031.9554719648227</v>
      </c>
      <c r="H252" s="95">
        <v>0</v>
      </c>
      <c r="I252" s="53">
        <f>IF(A252&gt;'Immobilien-Kalkulation'!$B$70*12,0,MAX(0,D252-G252-J252))</f>
        <v>135426.86194334552</v>
      </c>
      <c r="J252" s="53">
        <f>IF(OR(A252&gt;'Immobilien-Kalkulation'!$B$70*12,D252&lt;=0),0,MIN(H252,MAX(0,D252-G252)))</f>
        <v>0</v>
      </c>
    </row>
    <row r="253" spans="1:10" x14ac:dyDescent="0.25">
      <c r="A253">
        <v>250</v>
      </c>
      <c r="B253">
        <f t="shared" si="3"/>
        <v>21</v>
      </c>
      <c r="C253" s="28">
        <f>IF(A253&gt;'Immobilien-Kalkulation'!$B$70*12,0,IF(AND('Immobilien-Kalkulation'!$B$72=1,B253&gt;'Immobilien-Kalkulation'!$B$69),'Immobilien-Kalkulation'!$B$73,'Immobilien-Kalkulation'!$B$65))</f>
        <v>3.5000000000000003E-2</v>
      </c>
      <c r="D253" s="53">
        <f>IF(A253&gt;'Immobilien-Kalkulation'!$B$70*12,0,I252)</f>
        <v>135426.86194334552</v>
      </c>
      <c r="E253" s="53">
        <f>IF(OR(A253&gt;'Immobilien-Kalkulation'!$B$70*12,D253&lt;=0),0,IF(AND('Immobilien-Kalkulation'!$B$72=1,B253&gt;'Immobilien-Kalkulation'!$B$69),MIN(D253*C253/12+'Immobilien-Kalkulation'!$B$74/12,D253*(1+C253/12)),MIN('Immobilien-Kalkulation'!$B$67,D253*(1+C253/12))))</f>
        <v>1429.9603560928113</v>
      </c>
      <c r="F253" s="53">
        <f>IF(OR(A253&gt;'Immobilien-Kalkulation'!$B$70*12,D253&lt;=0),0,D253*C253/12)</f>
        <v>394.99501400142441</v>
      </c>
      <c r="G253" s="53">
        <f>IF(OR(A253&gt;'Immobilien-Kalkulation'!$B$70*12,D253&lt;=0),0,MAX(0,MIN(D253,E253-F253)))</f>
        <v>1034.9653420913869</v>
      </c>
      <c r="H253" s="95">
        <v>0</v>
      </c>
      <c r="I253" s="53">
        <f>IF(A253&gt;'Immobilien-Kalkulation'!$B$70*12,0,MAX(0,D253-G253-J253))</f>
        <v>134391.89660125412</v>
      </c>
      <c r="J253" s="53">
        <f>IF(OR(A253&gt;'Immobilien-Kalkulation'!$B$70*12,D253&lt;=0),0,MIN(H253,MAX(0,D253-G253)))</f>
        <v>0</v>
      </c>
    </row>
    <row r="254" spans="1:10" x14ac:dyDescent="0.25">
      <c r="A254">
        <v>251</v>
      </c>
      <c r="B254">
        <f t="shared" si="3"/>
        <v>21</v>
      </c>
      <c r="C254" s="28">
        <f>IF(A254&gt;'Immobilien-Kalkulation'!$B$70*12,0,IF(AND('Immobilien-Kalkulation'!$B$72=1,B254&gt;'Immobilien-Kalkulation'!$B$69),'Immobilien-Kalkulation'!$B$73,'Immobilien-Kalkulation'!$B$65))</f>
        <v>3.5000000000000003E-2</v>
      </c>
      <c r="D254" s="53">
        <f>IF(A254&gt;'Immobilien-Kalkulation'!$B$70*12,0,I253)</f>
        <v>134391.89660125412</v>
      </c>
      <c r="E254" s="53">
        <f>IF(OR(A254&gt;'Immobilien-Kalkulation'!$B$70*12,D254&lt;=0),0,IF(AND('Immobilien-Kalkulation'!$B$72=1,B254&gt;'Immobilien-Kalkulation'!$B$69),MIN(D254*C254/12+'Immobilien-Kalkulation'!$B$74/12,D254*(1+C254/12)),MIN('Immobilien-Kalkulation'!$B$67,D254*(1+C254/12))))</f>
        <v>1429.9603560928113</v>
      </c>
      <c r="F254" s="53">
        <f>IF(OR(A254&gt;'Immobilien-Kalkulation'!$B$70*12,D254&lt;=0),0,D254*C254/12)</f>
        <v>391.97636508699117</v>
      </c>
      <c r="G254" s="53">
        <f>IF(OR(A254&gt;'Immobilien-Kalkulation'!$B$70*12,D254&lt;=0),0,MAX(0,MIN(D254,E254-F254)))</f>
        <v>1037.9839910058201</v>
      </c>
      <c r="H254" s="95">
        <v>0</v>
      </c>
      <c r="I254" s="53">
        <f>IF(A254&gt;'Immobilien-Kalkulation'!$B$70*12,0,MAX(0,D254-G254-J254))</f>
        <v>133353.91261024831</v>
      </c>
      <c r="J254" s="53">
        <f>IF(OR(A254&gt;'Immobilien-Kalkulation'!$B$70*12,D254&lt;=0),0,MIN(H254,MAX(0,D254-G254)))</f>
        <v>0</v>
      </c>
    </row>
    <row r="255" spans="1:10" x14ac:dyDescent="0.25">
      <c r="A255">
        <v>252</v>
      </c>
      <c r="B255">
        <f t="shared" si="3"/>
        <v>21</v>
      </c>
      <c r="C255" s="28">
        <f>IF(A255&gt;'Immobilien-Kalkulation'!$B$70*12,0,IF(AND('Immobilien-Kalkulation'!$B$72=1,B255&gt;'Immobilien-Kalkulation'!$B$69),'Immobilien-Kalkulation'!$B$73,'Immobilien-Kalkulation'!$B$65))</f>
        <v>3.5000000000000003E-2</v>
      </c>
      <c r="D255" s="53">
        <f>IF(A255&gt;'Immobilien-Kalkulation'!$B$70*12,0,I254)</f>
        <v>133353.91261024831</v>
      </c>
      <c r="E255" s="53">
        <f>IF(OR(A255&gt;'Immobilien-Kalkulation'!$B$70*12,D255&lt;=0),0,IF(AND('Immobilien-Kalkulation'!$B$72=1,B255&gt;'Immobilien-Kalkulation'!$B$69),MIN(D255*C255/12+'Immobilien-Kalkulation'!$B$74/12,D255*(1+C255/12)),MIN('Immobilien-Kalkulation'!$B$67,D255*(1+C255/12))))</f>
        <v>1429.9603560928113</v>
      </c>
      <c r="F255" s="53">
        <f>IF(OR(A255&gt;'Immobilien-Kalkulation'!$B$70*12,D255&lt;=0),0,D255*C255/12)</f>
        <v>388.94891177989098</v>
      </c>
      <c r="G255" s="53">
        <f>IF(OR(A255&gt;'Immobilien-Kalkulation'!$B$70*12,D255&lt;=0),0,MAX(0,MIN(D255,E255-F255)))</f>
        <v>1041.0114443129203</v>
      </c>
      <c r="H255" s="95">
        <v>0</v>
      </c>
      <c r="I255" s="53">
        <f>IF(A255&gt;'Immobilien-Kalkulation'!$B$70*12,0,MAX(0,D255-G255-J255))</f>
        <v>132312.90116593539</v>
      </c>
      <c r="J255" s="53">
        <f>IF(OR(A255&gt;'Immobilien-Kalkulation'!$B$70*12,D255&lt;=0),0,MIN(H255,MAX(0,D255-G255)))</f>
        <v>0</v>
      </c>
    </row>
    <row r="256" spans="1:10" x14ac:dyDescent="0.25">
      <c r="A256">
        <v>253</v>
      </c>
      <c r="B256">
        <f t="shared" si="3"/>
        <v>22</v>
      </c>
      <c r="C256" s="28">
        <f>IF(A256&gt;'Immobilien-Kalkulation'!$B$70*12,0,IF(AND('Immobilien-Kalkulation'!$B$72=1,B256&gt;'Immobilien-Kalkulation'!$B$69),'Immobilien-Kalkulation'!$B$73,'Immobilien-Kalkulation'!$B$65))</f>
        <v>3.5000000000000003E-2</v>
      </c>
      <c r="D256" s="53">
        <f>IF(A256&gt;'Immobilien-Kalkulation'!$B$70*12,0,I255)</f>
        <v>132312.90116593539</v>
      </c>
      <c r="E256" s="53">
        <f>IF(OR(A256&gt;'Immobilien-Kalkulation'!$B$70*12,D256&lt;=0),0,IF(AND('Immobilien-Kalkulation'!$B$72=1,B256&gt;'Immobilien-Kalkulation'!$B$69),MIN(D256*C256/12+'Immobilien-Kalkulation'!$B$74/12,D256*(1+C256/12)),MIN('Immobilien-Kalkulation'!$B$67,D256*(1+C256/12))))</f>
        <v>1429.9603560928113</v>
      </c>
      <c r="F256" s="53">
        <f>IF(OR(A256&gt;'Immobilien-Kalkulation'!$B$70*12,D256&lt;=0),0,D256*C256/12)</f>
        <v>385.91262840064491</v>
      </c>
      <c r="G256" s="53">
        <f>IF(OR(A256&gt;'Immobilien-Kalkulation'!$B$70*12,D256&lt;=0),0,MAX(0,MIN(D256,E256-F256)))</f>
        <v>1044.0477276921663</v>
      </c>
      <c r="H256" s="95">
        <v>0</v>
      </c>
      <c r="I256" s="53">
        <f>IF(A256&gt;'Immobilien-Kalkulation'!$B$70*12,0,MAX(0,D256-G256-J256))</f>
        <v>131268.85343824321</v>
      </c>
      <c r="J256" s="53">
        <f>IF(OR(A256&gt;'Immobilien-Kalkulation'!$B$70*12,D256&lt;=0),0,MIN(H256,MAX(0,D256-G256)))</f>
        <v>0</v>
      </c>
    </row>
    <row r="257" spans="1:10" x14ac:dyDescent="0.25">
      <c r="A257">
        <v>254</v>
      </c>
      <c r="B257">
        <f t="shared" si="3"/>
        <v>22</v>
      </c>
      <c r="C257" s="28">
        <f>IF(A257&gt;'Immobilien-Kalkulation'!$B$70*12,0,IF(AND('Immobilien-Kalkulation'!$B$72=1,B257&gt;'Immobilien-Kalkulation'!$B$69),'Immobilien-Kalkulation'!$B$73,'Immobilien-Kalkulation'!$B$65))</f>
        <v>3.5000000000000003E-2</v>
      </c>
      <c r="D257" s="53">
        <f>IF(A257&gt;'Immobilien-Kalkulation'!$B$70*12,0,I256)</f>
        <v>131268.85343824321</v>
      </c>
      <c r="E257" s="53">
        <f>IF(OR(A257&gt;'Immobilien-Kalkulation'!$B$70*12,D257&lt;=0),0,IF(AND('Immobilien-Kalkulation'!$B$72=1,B257&gt;'Immobilien-Kalkulation'!$B$69),MIN(D257*C257/12+'Immobilien-Kalkulation'!$B$74/12,D257*(1+C257/12)),MIN('Immobilien-Kalkulation'!$B$67,D257*(1+C257/12))))</f>
        <v>1429.9603560928113</v>
      </c>
      <c r="F257" s="53">
        <f>IF(OR(A257&gt;'Immobilien-Kalkulation'!$B$70*12,D257&lt;=0),0,D257*C257/12)</f>
        <v>382.86748919487604</v>
      </c>
      <c r="G257" s="53">
        <f>IF(OR(A257&gt;'Immobilien-Kalkulation'!$B$70*12,D257&lt;=0),0,MAX(0,MIN(D257,E257-F257)))</f>
        <v>1047.0928668979352</v>
      </c>
      <c r="H257" s="95">
        <v>0</v>
      </c>
      <c r="I257" s="53">
        <f>IF(A257&gt;'Immobilien-Kalkulation'!$B$70*12,0,MAX(0,D257-G257-J257))</f>
        <v>130221.76057134528</v>
      </c>
      <c r="J257" s="53">
        <f>IF(OR(A257&gt;'Immobilien-Kalkulation'!$B$70*12,D257&lt;=0),0,MIN(H257,MAX(0,D257-G257)))</f>
        <v>0</v>
      </c>
    </row>
    <row r="258" spans="1:10" x14ac:dyDescent="0.25">
      <c r="A258">
        <v>255</v>
      </c>
      <c r="B258">
        <f t="shared" si="3"/>
        <v>22</v>
      </c>
      <c r="C258" s="28">
        <f>IF(A258&gt;'Immobilien-Kalkulation'!$B$70*12,0,IF(AND('Immobilien-Kalkulation'!$B$72=1,B258&gt;'Immobilien-Kalkulation'!$B$69),'Immobilien-Kalkulation'!$B$73,'Immobilien-Kalkulation'!$B$65))</f>
        <v>3.5000000000000003E-2</v>
      </c>
      <c r="D258" s="53">
        <f>IF(A258&gt;'Immobilien-Kalkulation'!$B$70*12,0,I257)</f>
        <v>130221.76057134528</v>
      </c>
      <c r="E258" s="53">
        <f>IF(OR(A258&gt;'Immobilien-Kalkulation'!$B$70*12,D258&lt;=0),0,IF(AND('Immobilien-Kalkulation'!$B$72=1,B258&gt;'Immobilien-Kalkulation'!$B$69),MIN(D258*C258/12+'Immobilien-Kalkulation'!$B$74/12,D258*(1+C258/12)),MIN('Immobilien-Kalkulation'!$B$67,D258*(1+C258/12))))</f>
        <v>1429.9603560928113</v>
      </c>
      <c r="F258" s="53">
        <f>IF(OR(A258&gt;'Immobilien-Kalkulation'!$B$70*12,D258&lt;=0),0,D258*C258/12)</f>
        <v>379.81346833309044</v>
      </c>
      <c r="G258" s="53">
        <f>IF(OR(A258&gt;'Immobilien-Kalkulation'!$B$70*12,D258&lt;=0),0,MAX(0,MIN(D258,E258-F258)))</f>
        <v>1050.1468877597208</v>
      </c>
      <c r="H258" s="95">
        <v>0</v>
      </c>
      <c r="I258" s="53">
        <f>IF(A258&gt;'Immobilien-Kalkulation'!$B$70*12,0,MAX(0,D258-G258-J258))</f>
        <v>129171.61368358556</v>
      </c>
      <c r="J258" s="53">
        <f>IF(OR(A258&gt;'Immobilien-Kalkulation'!$B$70*12,D258&lt;=0),0,MIN(H258,MAX(0,D258-G258)))</f>
        <v>0</v>
      </c>
    </row>
    <row r="259" spans="1:10" x14ac:dyDescent="0.25">
      <c r="A259">
        <v>256</v>
      </c>
      <c r="B259">
        <f t="shared" si="3"/>
        <v>22</v>
      </c>
      <c r="C259" s="28">
        <f>IF(A259&gt;'Immobilien-Kalkulation'!$B$70*12,0,IF(AND('Immobilien-Kalkulation'!$B$72=1,B259&gt;'Immobilien-Kalkulation'!$B$69),'Immobilien-Kalkulation'!$B$73,'Immobilien-Kalkulation'!$B$65))</f>
        <v>3.5000000000000003E-2</v>
      </c>
      <c r="D259" s="53">
        <f>IF(A259&gt;'Immobilien-Kalkulation'!$B$70*12,0,I258)</f>
        <v>129171.61368358556</v>
      </c>
      <c r="E259" s="53">
        <f>IF(OR(A259&gt;'Immobilien-Kalkulation'!$B$70*12,D259&lt;=0),0,IF(AND('Immobilien-Kalkulation'!$B$72=1,B259&gt;'Immobilien-Kalkulation'!$B$69),MIN(D259*C259/12+'Immobilien-Kalkulation'!$B$74/12,D259*(1+C259/12)),MIN('Immobilien-Kalkulation'!$B$67,D259*(1+C259/12))))</f>
        <v>1429.9603560928113</v>
      </c>
      <c r="F259" s="53">
        <f>IF(OR(A259&gt;'Immobilien-Kalkulation'!$B$70*12,D259&lt;=0),0,D259*C259/12)</f>
        <v>376.75053991045792</v>
      </c>
      <c r="G259" s="53">
        <f>IF(OR(A259&gt;'Immobilien-Kalkulation'!$B$70*12,D259&lt;=0),0,MAX(0,MIN(D259,E259-F259)))</f>
        <v>1053.2098161823533</v>
      </c>
      <c r="H259" s="95">
        <v>0</v>
      </c>
      <c r="I259" s="53">
        <f>IF(A259&gt;'Immobilien-Kalkulation'!$B$70*12,0,MAX(0,D259-G259-J259))</f>
        <v>128118.40386740321</v>
      </c>
      <c r="J259" s="53">
        <f>IF(OR(A259&gt;'Immobilien-Kalkulation'!$B$70*12,D259&lt;=0),0,MIN(H259,MAX(0,D259-G259)))</f>
        <v>0</v>
      </c>
    </row>
    <row r="260" spans="1:10" x14ac:dyDescent="0.25">
      <c r="A260">
        <v>257</v>
      </c>
      <c r="B260">
        <f t="shared" ref="B260:B323" si="4">INT((A260-1)/12)+1</f>
        <v>22</v>
      </c>
      <c r="C260" s="28">
        <f>IF(A260&gt;'Immobilien-Kalkulation'!$B$70*12,0,IF(AND('Immobilien-Kalkulation'!$B$72=1,B260&gt;'Immobilien-Kalkulation'!$B$69),'Immobilien-Kalkulation'!$B$73,'Immobilien-Kalkulation'!$B$65))</f>
        <v>3.5000000000000003E-2</v>
      </c>
      <c r="D260" s="53">
        <f>IF(A260&gt;'Immobilien-Kalkulation'!$B$70*12,0,I259)</f>
        <v>128118.40386740321</v>
      </c>
      <c r="E260" s="53">
        <f>IF(OR(A260&gt;'Immobilien-Kalkulation'!$B$70*12,D260&lt;=0),0,IF(AND('Immobilien-Kalkulation'!$B$72=1,B260&gt;'Immobilien-Kalkulation'!$B$69),MIN(D260*C260/12+'Immobilien-Kalkulation'!$B$74/12,D260*(1+C260/12)),MIN('Immobilien-Kalkulation'!$B$67,D260*(1+C260/12))))</f>
        <v>1429.9603560928113</v>
      </c>
      <c r="F260" s="53">
        <f>IF(OR(A260&gt;'Immobilien-Kalkulation'!$B$70*12,D260&lt;=0),0,D260*C260/12)</f>
        <v>373.6786779465927</v>
      </c>
      <c r="G260" s="53">
        <f>IF(OR(A260&gt;'Immobilien-Kalkulation'!$B$70*12,D260&lt;=0),0,MAX(0,MIN(D260,E260-F260)))</f>
        <v>1056.2816781462186</v>
      </c>
      <c r="H260" s="95">
        <v>0</v>
      </c>
      <c r="I260" s="53">
        <f>IF(A260&gt;'Immobilien-Kalkulation'!$B$70*12,0,MAX(0,D260-G260-J260))</f>
        <v>127062.12218925699</v>
      </c>
      <c r="J260" s="53">
        <f>IF(OR(A260&gt;'Immobilien-Kalkulation'!$B$70*12,D260&lt;=0),0,MIN(H260,MAX(0,D260-G260)))</f>
        <v>0</v>
      </c>
    </row>
    <row r="261" spans="1:10" x14ac:dyDescent="0.25">
      <c r="A261">
        <v>258</v>
      </c>
      <c r="B261">
        <f t="shared" si="4"/>
        <v>22</v>
      </c>
      <c r="C261" s="28">
        <f>IF(A261&gt;'Immobilien-Kalkulation'!$B$70*12,0,IF(AND('Immobilien-Kalkulation'!$B$72=1,B261&gt;'Immobilien-Kalkulation'!$B$69),'Immobilien-Kalkulation'!$B$73,'Immobilien-Kalkulation'!$B$65))</f>
        <v>3.5000000000000003E-2</v>
      </c>
      <c r="D261" s="53">
        <f>IF(A261&gt;'Immobilien-Kalkulation'!$B$70*12,0,I260)</f>
        <v>127062.12218925699</v>
      </c>
      <c r="E261" s="53">
        <f>IF(OR(A261&gt;'Immobilien-Kalkulation'!$B$70*12,D261&lt;=0),0,IF(AND('Immobilien-Kalkulation'!$B$72=1,B261&gt;'Immobilien-Kalkulation'!$B$69),MIN(D261*C261/12+'Immobilien-Kalkulation'!$B$74/12,D261*(1+C261/12)),MIN('Immobilien-Kalkulation'!$B$67,D261*(1+C261/12))))</f>
        <v>1429.9603560928113</v>
      </c>
      <c r="F261" s="53">
        <f>IF(OR(A261&gt;'Immobilien-Kalkulation'!$B$70*12,D261&lt;=0),0,D261*C261/12)</f>
        <v>370.59785638533293</v>
      </c>
      <c r="G261" s="53">
        <f>IF(OR(A261&gt;'Immobilien-Kalkulation'!$B$70*12,D261&lt;=0),0,MAX(0,MIN(D261,E261-F261)))</f>
        <v>1059.3624997074783</v>
      </c>
      <c r="H261" s="95">
        <v>0</v>
      </c>
      <c r="I261" s="53">
        <f>IF(A261&gt;'Immobilien-Kalkulation'!$B$70*12,0,MAX(0,D261-G261-J261))</f>
        <v>126002.75968954951</v>
      </c>
      <c r="J261" s="53">
        <f>IF(OR(A261&gt;'Immobilien-Kalkulation'!$B$70*12,D261&lt;=0),0,MIN(H261,MAX(0,D261-G261)))</f>
        <v>0</v>
      </c>
    </row>
    <row r="262" spans="1:10" x14ac:dyDescent="0.25">
      <c r="A262">
        <v>259</v>
      </c>
      <c r="B262">
        <f t="shared" si="4"/>
        <v>22</v>
      </c>
      <c r="C262" s="28">
        <f>IF(A262&gt;'Immobilien-Kalkulation'!$B$70*12,0,IF(AND('Immobilien-Kalkulation'!$B$72=1,B262&gt;'Immobilien-Kalkulation'!$B$69),'Immobilien-Kalkulation'!$B$73,'Immobilien-Kalkulation'!$B$65))</f>
        <v>3.5000000000000003E-2</v>
      </c>
      <c r="D262" s="53">
        <f>IF(A262&gt;'Immobilien-Kalkulation'!$B$70*12,0,I261)</f>
        <v>126002.75968954951</v>
      </c>
      <c r="E262" s="53">
        <f>IF(OR(A262&gt;'Immobilien-Kalkulation'!$B$70*12,D262&lt;=0),0,IF(AND('Immobilien-Kalkulation'!$B$72=1,B262&gt;'Immobilien-Kalkulation'!$B$69),MIN(D262*C262/12+'Immobilien-Kalkulation'!$B$74/12,D262*(1+C262/12)),MIN('Immobilien-Kalkulation'!$B$67,D262*(1+C262/12))))</f>
        <v>1429.9603560928113</v>
      </c>
      <c r="F262" s="53">
        <f>IF(OR(A262&gt;'Immobilien-Kalkulation'!$B$70*12,D262&lt;=0),0,D262*C262/12)</f>
        <v>367.50804909451944</v>
      </c>
      <c r="G262" s="53">
        <f>IF(OR(A262&gt;'Immobilien-Kalkulation'!$B$70*12,D262&lt;=0),0,MAX(0,MIN(D262,E262-F262)))</f>
        <v>1062.4523069982918</v>
      </c>
      <c r="H262" s="95">
        <v>0</v>
      </c>
      <c r="I262" s="53">
        <f>IF(A262&gt;'Immobilien-Kalkulation'!$B$70*12,0,MAX(0,D262-G262-J262))</f>
        <v>124940.30738255121</v>
      </c>
      <c r="J262" s="53">
        <f>IF(OR(A262&gt;'Immobilien-Kalkulation'!$B$70*12,D262&lt;=0),0,MIN(H262,MAX(0,D262-G262)))</f>
        <v>0</v>
      </c>
    </row>
    <row r="263" spans="1:10" x14ac:dyDescent="0.25">
      <c r="A263">
        <v>260</v>
      </c>
      <c r="B263">
        <f t="shared" si="4"/>
        <v>22</v>
      </c>
      <c r="C263" s="28">
        <f>IF(A263&gt;'Immobilien-Kalkulation'!$B$70*12,0,IF(AND('Immobilien-Kalkulation'!$B$72=1,B263&gt;'Immobilien-Kalkulation'!$B$69),'Immobilien-Kalkulation'!$B$73,'Immobilien-Kalkulation'!$B$65))</f>
        <v>3.5000000000000003E-2</v>
      </c>
      <c r="D263" s="53">
        <f>IF(A263&gt;'Immobilien-Kalkulation'!$B$70*12,0,I262)</f>
        <v>124940.30738255121</v>
      </c>
      <c r="E263" s="53">
        <f>IF(OR(A263&gt;'Immobilien-Kalkulation'!$B$70*12,D263&lt;=0),0,IF(AND('Immobilien-Kalkulation'!$B$72=1,B263&gt;'Immobilien-Kalkulation'!$B$69),MIN(D263*C263/12+'Immobilien-Kalkulation'!$B$74/12,D263*(1+C263/12)),MIN('Immobilien-Kalkulation'!$B$67,D263*(1+C263/12))))</f>
        <v>1429.9603560928113</v>
      </c>
      <c r="F263" s="53">
        <f>IF(OR(A263&gt;'Immobilien-Kalkulation'!$B$70*12,D263&lt;=0),0,D263*C263/12)</f>
        <v>364.40922986577442</v>
      </c>
      <c r="G263" s="53">
        <f>IF(OR(A263&gt;'Immobilien-Kalkulation'!$B$70*12,D263&lt;=0),0,MAX(0,MIN(D263,E263-F263)))</f>
        <v>1065.5511262270368</v>
      </c>
      <c r="H263" s="95">
        <v>0</v>
      </c>
      <c r="I263" s="53">
        <f>IF(A263&gt;'Immobilien-Kalkulation'!$B$70*12,0,MAX(0,D263-G263-J263))</f>
        <v>123874.75625632418</v>
      </c>
      <c r="J263" s="53">
        <f>IF(OR(A263&gt;'Immobilien-Kalkulation'!$B$70*12,D263&lt;=0),0,MIN(H263,MAX(0,D263-G263)))</f>
        <v>0</v>
      </c>
    </row>
    <row r="264" spans="1:10" x14ac:dyDescent="0.25">
      <c r="A264">
        <v>261</v>
      </c>
      <c r="B264">
        <f t="shared" si="4"/>
        <v>22</v>
      </c>
      <c r="C264" s="28">
        <f>IF(A264&gt;'Immobilien-Kalkulation'!$B$70*12,0,IF(AND('Immobilien-Kalkulation'!$B$72=1,B264&gt;'Immobilien-Kalkulation'!$B$69),'Immobilien-Kalkulation'!$B$73,'Immobilien-Kalkulation'!$B$65))</f>
        <v>3.5000000000000003E-2</v>
      </c>
      <c r="D264" s="53">
        <f>IF(A264&gt;'Immobilien-Kalkulation'!$B$70*12,0,I263)</f>
        <v>123874.75625632418</v>
      </c>
      <c r="E264" s="53">
        <f>IF(OR(A264&gt;'Immobilien-Kalkulation'!$B$70*12,D264&lt;=0),0,IF(AND('Immobilien-Kalkulation'!$B$72=1,B264&gt;'Immobilien-Kalkulation'!$B$69),MIN(D264*C264/12+'Immobilien-Kalkulation'!$B$74/12,D264*(1+C264/12)),MIN('Immobilien-Kalkulation'!$B$67,D264*(1+C264/12))))</f>
        <v>1429.9603560928113</v>
      </c>
      <c r="F264" s="53">
        <f>IF(OR(A264&gt;'Immobilien-Kalkulation'!$B$70*12,D264&lt;=0),0,D264*C264/12)</f>
        <v>361.30137241427889</v>
      </c>
      <c r="G264" s="53">
        <f>IF(OR(A264&gt;'Immobilien-Kalkulation'!$B$70*12,D264&lt;=0),0,MAX(0,MIN(D264,E264-F264)))</f>
        <v>1068.6589836785324</v>
      </c>
      <c r="H264" s="95">
        <v>0</v>
      </c>
      <c r="I264" s="53">
        <f>IF(A264&gt;'Immobilien-Kalkulation'!$B$70*12,0,MAX(0,D264-G264-J264))</f>
        <v>122806.09727264565</v>
      </c>
      <c r="J264" s="53">
        <f>IF(OR(A264&gt;'Immobilien-Kalkulation'!$B$70*12,D264&lt;=0),0,MIN(H264,MAX(0,D264-G264)))</f>
        <v>0</v>
      </c>
    </row>
    <row r="265" spans="1:10" x14ac:dyDescent="0.25">
      <c r="A265">
        <v>262</v>
      </c>
      <c r="B265">
        <f t="shared" si="4"/>
        <v>22</v>
      </c>
      <c r="C265" s="28">
        <f>IF(A265&gt;'Immobilien-Kalkulation'!$B$70*12,0,IF(AND('Immobilien-Kalkulation'!$B$72=1,B265&gt;'Immobilien-Kalkulation'!$B$69),'Immobilien-Kalkulation'!$B$73,'Immobilien-Kalkulation'!$B$65))</f>
        <v>3.5000000000000003E-2</v>
      </c>
      <c r="D265" s="53">
        <f>IF(A265&gt;'Immobilien-Kalkulation'!$B$70*12,0,I264)</f>
        <v>122806.09727264565</v>
      </c>
      <c r="E265" s="53">
        <f>IF(OR(A265&gt;'Immobilien-Kalkulation'!$B$70*12,D265&lt;=0),0,IF(AND('Immobilien-Kalkulation'!$B$72=1,B265&gt;'Immobilien-Kalkulation'!$B$69),MIN(D265*C265/12+'Immobilien-Kalkulation'!$B$74/12,D265*(1+C265/12)),MIN('Immobilien-Kalkulation'!$B$67,D265*(1+C265/12))))</f>
        <v>1429.9603560928113</v>
      </c>
      <c r="F265" s="53">
        <f>IF(OR(A265&gt;'Immobilien-Kalkulation'!$B$70*12,D265&lt;=0),0,D265*C265/12)</f>
        <v>358.18445037854985</v>
      </c>
      <c r="G265" s="53">
        <f>IF(OR(A265&gt;'Immobilien-Kalkulation'!$B$70*12,D265&lt;=0),0,MAX(0,MIN(D265,E265-F265)))</f>
        <v>1071.7759057142614</v>
      </c>
      <c r="H265" s="95">
        <v>0</v>
      </c>
      <c r="I265" s="53">
        <f>IF(A265&gt;'Immobilien-Kalkulation'!$B$70*12,0,MAX(0,D265-G265-J265))</f>
        <v>121734.32136693138</v>
      </c>
      <c r="J265" s="53">
        <f>IF(OR(A265&gt;'Immobilien-Kalkulation'!$B$70*12,D265&lt;=0),0,MIN(H265,MAX(0,D265-G265)))</f>
        <v>0</v>
      </c>
    </row>
    <row r="266" spans="1:10" x14ac:dyDescent="0.25">
      <c r="A266">
        <v>263</v>
      </c>
      <c r="B266">
        <f t="shared" si="4"/>
        <v>22</v>
      </c>
      <c r="C266" s="28">
        <f>IF(A266&gt;'Immobilien-Kalkulation'!$B$70*12,0,IF(AND('Immobilien-Kalkulation'!$B$72=1,B266&gt;'Immobilien-Kalkulation'!$B$69),'Immobilien-Kalkulation'!$B$73,'Immobilien-Kalkulation'!$B$65))</f>
        <v>3.5000000000000003E-2</v>
      </c>
      <c r="D266" s="53">
        <f>IF(A266&gt;'Immobilien-Kalkulation'!$B$70*12,0,I265)</f>
        <v>121734.32136693138</v>
      </c>
      <c r="E266" s="53">
        <f>IF(OR(A266&gt;'Immobilien-Kalkulation'!$B$70*12,D266&lt;=0),0,IF(AND('Immobilien-Kalkulation'!$B$72=1,B266&gt;'Immobilien-Kalkulation'!$B$69),MIN(D266*C266/12+'Immobilien-Kalkulation'!$B$74/12,D266*(1+C266/12)),MIN('Immobilien-Kalkulation'!$B$67,D266*(1+C266/12))))</f>
        <v>1429.9603560928113</v>
      </c>
      <c r="F266" s="53">
        <f>IF(OR(A266&gt;'Immobilien-Kalkulation'!$B$70*12,D266&lt;=0),0,D266*C266/12)</f>
        <v>355.05843732021657</v>
      </c>
      <c r="G266" s="53">
        <f>IF(OR(A266&gt;'Immobilien-Kalkulation'!$B$70*12,D266&lt;=0),0,MAX(0,MIN(D266,E266-F266)))</f>
        <v>1074.9019187725946</v>
      </c>
      <c r="H266" s="95">
        <v>0</v>
      </c>
      <c r="I266" s="53">
        <f>IF(A266&gt;'Immobilien-Kalkulation'!$B$70*12,0,MAX(0,D266-G266-J266))</f>
        <v>120659.41944815879</v>
      </c>
      <c r="J266" s="53">
        <f>IF(OR(A266&gt;'Immobilien-Kalkulation'!$B$70*12,D266&lt;=0),0,MIN(H266,MAX(0,D266-G266)))</f>
        <v>0</v>
      </c>
    </row>
    <row r="267" spans="1:10" x14ac:dyDescent="0.25">
      <c r="A267">
        <v>264</v>
      </c>
      <c r="B267">
        <f t="shared" si="4"/>
        <v>22</v>
      </c>
      <c r="C267" s="28">
        <f>IF(A267&gt;'Immobilien-Kalkulation'!$B$70*12,0,IF(AND('Immobilien-Kalkulation'!$B$72=1,B267&gt;'Immobilien-Kalkulation'!$B$69),'Immobilien-Kalkulation'!$B$73,'Immobilien-Kalkulation'!$B$65))</f>
        <v>3.5000000000000003E-2</v>
      </c>
      <c r="D267" s="53">
        <f>IF(A267&gt;'Immobilien-Kalkulation'!$B$70*12,0,I266)</f>
        <v>120659.41944815879</v>
      </c>
      <c r="E267" s="53">
        <f>IF(OR(A267&gt;'Immobilien-Kalkulation'!$B$70*12,D267&lt;=0),0,IF(AND('Immobilien-Kalkulation'!$B$72=1,B267&gt;'Immobilien-Kalkulation'!$B$69),MIN(D267*C267/12+'Immobilien-Kalkulation'!$B$74/12,D267*(1+C267/12)),MIN('Immobilien-Kalkulation'!$B$67,D267*(1+C267/12))))</f>
        <v>1429.9603560928113</v>
      </c>
      <c r="F267" s="53">
        <f>IF(OR(A267&gt;'Immobilien-Kalkulation'!$B$70*12,D267&lt;=0),0,D267*C267/12)</f>
        <v>351.92330672379649</v>
      </c>
      <c r="G267" s="53">
        <f>IF(OR(A267&gt;'Immobilien-Kalkulation'!$B$70*12,D267&lt;=0),0,MAX(0,MIN(D267,E267-F267)))</f>
        <v>1078.0370493690148</v>
      </c>
      <c r="H267" s="95">
        <v>0</v>
      </c>
      <c r="I267" s="53">
        <f>IF(A267&gt;'Immobilien-Kalkulation'!$B$70*12,0,MAX(0,D267-G267-J267))</f>
        <v>119581.38239878978</v>
      </c>
      <c r="J267" s="53">
        <f>IF(OR(A267&gt;'Immobilien-Kalkulation'!$B$70*12,D267&lt;=0),0,MIN(H267,MAX(0,D267-G267)))</f>
        <v>0</v>
      </c>
    </row>
    <row r="268" spans="1:10" x14ac:dyDescent="0.25">
      <c r="A268">
        <v>265</v>
      </c>
      <c r="B268">
        <f t="shared" si="4"/>
        <v>23</v>
      </c>
      <c r="C268" s="28">
        <f>IF(A268&gt;'Immobilien-Kalkulation'!$B$70*12,0,IF(AND('Immobilien-Kalkulation'!$B$72=1,B268&gt;'Immobilien-Kalkulation'!$B$69),'Immobilien-Kalkulation'!$B$73,'Immobilien-Kalkulation'!$B$65))</f>
        <v>3.5000000000000003E-2</v>
      </c>
      <c r="D268" s="53">
        <f>IF(A268&gt;'Immobilien-Kalkulation'!$B$70*12,0,I267)</f>
        <v>119581.38239878978</v>
      </c>
      <c r="E268" s="53">
        <f>IF(OR(A268&gt;'Immobilien-Kalkulation'!$B$70*12,D268&lt;=0),0,IF(AND('Immobilien-Kalkulation'!$B$72=1,B268&gt;'Immobilien-Kalkulation'!$B$69),MIN(D268*C268/12+'Immobilien-Kalkulation'!$B$74/12,D268*(1+C268/12)),MIN('Immobilien-Kalkulation'!$B$67,D268*(1+C268/12))))</f>
        <v>1429.9603560928113</v>
      </c>
      <c r="F268" s="53">
        <f>IF(OR(A268&gt;'Immobilien-Kalkulation'!$B$70*12,D268&lt;=0),0,D268*C268/12)</f>
        <v>348.77903199647022</v>
      </c>
      <c r="G268" s="53">
        <f>IF(OR(A268&gt;'Immobilien-Kalkulation'!$B$70*12,D268&lt;=0),0,MAX(0,MIN(D268,E268-F268)))</f>
        <v>1081.1813240963411</v>
      </c>
      <c r="H268" s="95">
        <v>0</v>
      </c>
      <c r="I268" s="53">
        <f>IF(A268&gt;'Immobilien-Kalkulation'!$B$70*12,0,MAX(0,D268-G268-J268))</f>
        <v>118500.20107469344</v>
      </c>
      <c r="J268" s="53">
        <f>IF(OR(A268&gt;'Immobilien-Kalkulation'!$B$70*12,D268&lt;=0),0,MIN(H268,MAX(0,D268-G268)))</f>
        <v>0</v>
      </c>
    </row>
    <row r="269" spans="1:10" x14ac:dyDescent="0.25">
      <c r="A269">
        <v>266</v>
      </c>
      <c r="B269">
        <f t="shared" si="4"/>
        <v>23</v>
      </c>
      <c r="C269" s="28">
        <f>IF(A269&gt;'Immobilien-Kalkulation'!$B$70*12,0,IF(AND('Immobilien-Kalkulation'!$B$72=1,B269&gt;'Immobilien-Kalkulation'!$B$69),'Immobilien-Kalkulation'!$B$73,'Immobilien-Kalkulation'!$B$65))</f>
        <v>3.5000000000000003E-2</v>
      </c>
      <c r="D269" s="53">
        <f>IF(A269&gt;'Immobilien-Kalkulation'!$B$70*12,0,I268)</f>
        <v>118500.20107469344</v>
      </c>
      <c r="E269" s="53">
        <f>IF(OR(A269&gt;'Immobilien-Kalkulation'!$B$70*12,D269&lt;=0),0,IF(AND('Immobilien-Kalkulation'!$B$72=1,B269&gt;'Immobilien-Kalkulation'!$B$69),MIN(D269*C269/12+'Immobilien-Kalkulation'!$B$74/12,D269*(1+C269/12)),MIN('Immobilien-Kalkulation'!$B$67,D269*(1+C269/12))))</f>
        <v>1429.9603560928113</v>
      </c>
      <c r="F269" s="53">
        <f>IF(OR(A269&gt;'Immobilien-Kalkulation'!$B$70*12,D269&lt;=0),0,D269*C269/12)</f>
        <v>345.62558646785595</v>
      </c>
      <c r="G269" s="53">
        <f>IF(OR(A269&gt;'Immobilien-Kalkulation'!$B$70*12,D269&lt;=0),0,MAX(0,MIN(D269,E269-F269)))</f>
        <v>1084.3347696249552</v>
      </c>
      <c r="H269" s="95">
        <v>0</v>
      </c>
      <c r="I269" s="53">
        <f>IF(A269&gt;'Immobilien-Kalkulation'!$B$70*12,0,MAX(0,D269-G269-J269))</f>
        <v>117415.86630506848</v>
      </c>
      <c r="J269" s="53">
        <f>IF(OR(A269&gt;'Immobilien-Kalkulation'!$B$70*12,D269&lt;=0),0,MIN(H269,MAX(0,D269-G269)))</f>
        <v>0</v>
      </c>
    </row>
    <row r="270" spans="1:10" x14ac:dyDescent="0.25">
      <c r="A270">
        <v>267</v>
      </c>
      <c r="B270">
        <f t="shared" si="4"/>
        <v>23</v>
      </c>
      <c r="C270" s="28">
        <f>IF(A270&gt;'Immobilien-Kalkulation'!$B$70*12,0,IF(AND('Immobilien-Kalkulation'!$B$72=1,B270&gt;'Immobilien-Kalkulation'!$B$69),'Immobilien-Kalkulation'!$B$73,'Immobilien-Kalkulation'!$B$65))</f>
        <v>3.5000000000000003E-2</v>
      </c>
      <c r="D270" s="53">
        <f>IF(A270&gt;'Immobilien-Kalkulation'!$B$70*12,0,I269)</f>
        <v>117415.86630506848</v>
      </c>
      <c r="E270" s="53">
        <f>IF(OR(A270&gt;'Immobilien-Kalkulation'!$B$70*12,D270&lt;=0),0,IF(AND('Immobilien-Kalkulation'!$B$72=1,B270&gt;'Immobilien-Kalkulation'!$B$69),MIN(D270*C270/12+'Immobilien-Kalkulation'!$B$74/12,D270*(1+C270/12)),MIN('Immobilien-Kalkulation'!$B$67,D270*(1+C270/12))))</f>
        <v>1429.9603560928113</v>
      </c>
      <c r="F270" s="53">
        <f>IF(OR(A270&gt;'Immobilien-Kalkulation'!$B$70*12,D270&lt;=0),0,D270*C270/12)</f>
        <v>342.46294338978311</v>
      </c>
      <c r="G270" s="53">
        <f>IF(OR(A270&gt;'Immobilien-Kalkulation'!$B$70*12,D270&lt;=0),0,MAX(0,MIN(D270,E270-F270)))</f>
        <v>1087.4974127030282</v>
      </c>
      <c r="H270" s="95">
        <v>0</v>
      </c>
      <c r="I270" s="53">
        <f>IF(A270&gt;'Immobilien-Kalkulation'!$B$70*12,0,MAX(0,D270-G270-J270))</f>
        <v>116328.36889236546</v>
      </c>
      <c r="J270" s="53">
        <f>IF(OR(A270&gt;'Immobilien-Kalkulation'!$B$70*12,D270&lt;=0),0,MIN(H270,MAX(0,D270-G270)))</f>
        <v>0</v>
      </c>
    </row>
    <row r="271" spans="1:10" x14ac:dyDescent="0.25">
      <c r="A271">
        <v>268</v>
      </c>
      <c r="B271">
        <f t="shared" si="4"/>
        <v>23</v>
      </c>
      <c r="C271" s="28">
        <f>IF(A271&gt;'Immobilien-Kalkulation'!$B$70*12,0,IF(AND('Immobilien-Kalkulation'!$B$72=1,B271&gt;'Immobilien-Kalkulation'!$B$69),'Immobilien-Kalkulation'!$B$73,'Immobilien-Kalkulation'!$B$65))</f>
        <v>3.5000000000000003E-2</v>
      </c>
      <c r="D271" s="53">
        <f>IF(A271&gt;'Immobilien-Kalkulation'!$B$70*12,0,I270)</f>
        <v>116328.36889236546</v>
      </c>
      <c r="E271" s="53">
        <f>IF(OR(A271&gt;'Immobilien-Kalkulation'!$B$70*12,D271&lt;=0),0,IF(AND('Immobilien-Kalkulation'!$B$72=1,B271&gt;'Immobilien-Kalkulation'!$B$69),MIN(D271*C271/12+'Immobilien-Kalkulation'!$B$74/12,D271*(1+C271/12)),MIN('Immobilien-Kalkulation'!$B$67,D271*(1+C271/12))))</f>
        <v>1429.9603560928113</v>
      </c>
      <c r="F271" s="53">
        <f>IF(OR(A271&gt;'Immobilien-Kalkulation'!$B$70*12,D271&lt;=0),0,D271*C271/12)</f>
        <v>339.29107593606597</v>
      </c>
      <c r="G271" s="53">
        <f>IF(OR(A271&gt;'Immobilien-Kalkulation'!$B$70*12,D271&lt;=0),0,MAX(0,MIN(D271,E271-F271)))</f>
        <v>1090.6692801567453</v>
      </c>
      <c r="H271" s="95">
        <v>0</v>
      </c>
      <c r="I271" s="53">
        <f>IF(A271&gt;'Immobilien-Kalkulation'!$B$70*12,0,MAX(0,D271-G271-J271))</f>
        <v>115237.69961220871</v>
      </c>
      <c r="J271" s="53">
        <f>IF(OR(A271&gt;'Immobilien-Kalkulation'!$B$70*12,D271&lt;=0),0,MIN(H271,MAX(0,D271-G271)))</f>
        <v>0</v>
      </c>
    </row>
    <row r="272" spans="1:10" x14ac:dyDescent="0.25">
      <c r="A272">
        <v>269</v>
      </c>
      <c r="B272">
        <f t="shared" si="4"/>
        <v>23</v>
      </c>
      <c r="C272" s="28">
        <f>IF(A272&gt;'Immobilien-Kalkulation'!$B$70*12,0,IF(AND('Immobilien-Kalkulation'!$B$72=1,B272&gt;'Immobilien-Kalkulation'!$B$69),'Immobilien-Kalkulation'!$B$73,'Immobilien-Kalkulation'!$B$65))</f>
        <v>3.5000000000000003E-2</v>
      </c>
      <c r="D272" s="53">
        <f>IF(A272&gt;'Immobilien-Kalkulation'!$B$70*12,0,I271)</f>
        <v>115237.69961220871</v>
      </c>
      <c r="E272" s="53">
        <f>IF(OR(A272&gt;'Immobilien-Kalkulation'!$B$70*12,D272&lt;=0),0,IF(AND('Immobilien-Kalkulation'!$B$72=1,B272&gt;'Immobilien-Kalkulation'!$B$69),MIN(D272*C272/12+'Immobilien-Kalkulation'!$B$74/12,D272*(1+C272/12)),MIN('Immobilien-Kalkulation'!$B$67,D272*(1+C272/12))))</f>
        <v>1429.9603560928113</v>
      </c>
      <c r="F272" s="53">
        <f>IF(OR(A272&gt;'Immobilien-Kalkulation'!$B$70*12,D272&lt;=0),0,D272*C272/12)</f>
        <v>336.10995720227544</v>
      </c>
      <c r="G272" s="53">
        <f>IF(OR(A272&gt;'Immobilien-Kalkulation'!$B$70*12,D272&lt;=0),0,MAX(0,MIN(D272,E272-F272)))</f>
        <v>1093.8503988905359</v>
      </c>
      <c r="H272" s="95">
        <v>0</v>
      </c>
      <c r="I272" s="53">
        <f>IF(A272&gt;'Immobilien-Kalkulation'!$B$70*12,0,MAX(0,D272-G272-J272))</f>
        <v>114143.84921331817</v>
      </c>
      <c r="J272" s="53">
        <f>IF(OR(A272&gt;'Immobilien-Kalkulation'!$B$70*12,D272&lt;=0),0,MIN(H272,MAX(0,D272-G272)))</f>
        <v>0</v>
      </c>
    </row>
    <row r="273" spans="1:10" x14ac:dyDescent="0.25">
      <c r="A273">
        <v>270</v>
      </c>
      <c r="B273">
        <f t="shared" si="4"/>
        <v>23</v>
      </c>
      <c r="C273" s="28">
        <f>IF(A273&gt;'Immobilien-Kalkulation'!$B$70*12,0,IF(AND('Immobilien-Kalkulation'!$B$72=1,B273&gt;'Immobilien-Kalkulation'!$B$69),'Immobilien-Kalkulation'!$B$73,'Immobilien-Kalkulation'!$B$65))</f>
        <v>3.5000000000000003E-2</v>
      </c>
      <c r="D273" s="53">
        <f>IF(A273&gt;'Immobilien-Kalkulation'!$B$70*12,0,I272)</f>
        <v>114143.84921331817</v>
      </c>
      <c r="E273" s="53">
        <f>IF(OR(A273&gt;'Immobilien-Kalkulation'!$B$70*12,D273&lt;=0),0,IF(AND('Immobilien-Kalkulation'!$B$72=1,B273&gt;'Immobilien-Kalkulation'!$B$69),MIN(D273*C273/12+'Immobilien-Kalkulation'!$B$74/12,D273*(1+C273/12)),MIN('Immobilien-Kalkulation'!$B$67,D273*(1+C273/12))))</f>
        <v>1429.9603560928113</v>
      </c>
      <c r="F273" s="53">
        <f>IF(OR(A273&gt;'Immobilien-Kalkulation'!$B$70*12,D273&lt;=0),0,D273*C273/12)</f>
        <v>332.91956020551135</v>
      </c>
      <c r="G273" s="53">
        <f>IF(OR(A273&gt;'Immobilien-Kalkulation'!$B$70*12,D273&lt;=0),0,MAX(0,MIN(D273,E273-F273)))</f>
        <v>1097.0407958873</v>
      </c>
      <c r="H273" s="95">
        <v>0</v>
      </c>
      <c r="I273" s="53">
        <f>IF(A273&gt;'Immobilien-Kalkulation'!$B$70*12,0,MAX(0,D273-G273-J273))</f>
        <v>113046.80841743088</v>
      </c>
      <c r="J273" s="53">
        <f>IF(OR(A273&gt;'Immobilien-Kalkulation'!$B$70*12,D273&lt;=0),0,MIN(H273,MAX(0,D273-G273)))</f>
        <v>0</v>
      </c>
    </row>
    <row r="274" spans="1:10" x14ac:dyDescent="0.25">
      <c r="A274">
        <v>271</v>
      </c>
      <c r="B274">
        <f t="shared" si="4"/>
        <v>23</v>
      </c>
      <c r="C274" s="28">
        <f>IF(A274&gt;'Immobilien-Kalkulation'!$B$70*12,0,IF(AND('Immobilien-Kalkulation'!$B$72=1,B274&gt;'Immobilien-Kalkulation'!$B$69),'Immobilien-Kalkulation'!$B$73,'Immobilien-Kalkulation'!$B$65))</f>
        <v>3.5000000000000003E-2</v>
      </c>
      <c r="D274" s="53">
        <f>IF(A274&gt;'Immobilien-Kalkulation'!$B$70*12,0,I273)</f>
        <v>113046.80841743088</v>
      </c>
      <c r="E274" s="53">
        <f>IF(OR(A274&gt;'Immobilien-Kalkulation'!$B$70*12,D274&lt;=0),0,IF(AND('Immobilien-Kalkulation'!$B$72=1,B274&gt;'Immobilien-Kalkulation'!$B$69),MIN(D274*C274/12+'Immobilien-Kalkulation'!$B$74/12,D274*(1+C274/12)),MIN('Immobilien-Kalkulation'!$B$67,D274*(1+C274/12))))</f>
        <v>1429.9603560928113</v>
      </c>
      <c r="F274" s="53">
        <f>IF(OR(A274&gt;'Immobilien-Kalkulation'!$B$70*12,D274&lt;=0),0,D274*C274/12)</f>
        <v>329.71985788417345</v>
      </c>
      <c r="G274" s="53">
        <f>IF(OR(A274&gt;'Immobilien-Kalkulation'!$B$70*12,D274&lt;=0),0,MAX(0,MIN(D274,E274-F274)))</f>
        <v>1100.2404982086377</v>
      </c>
      <c r="H274" s="95">
        <v>0</v>
      </c>
      <c r="I274" s="53">
        <f>IF(A274&gt;'Immobilien-Kalkulation'!$B$70*12,0,MAX(0,D274-G274-J274))</f>
        <v>111946.56791922223</v>
      </c>
      <c r="J274" s="53">
        <f>IF(OR(A274&gt;'Immobilien-Kalkulation'!$B$70*12,D274&lt;=0),0,MIN(H274,MAX(0,D274-G274)))</f>
        <v>0</v>
      </c>
    </row>
    <row r="275" spans="1:10" x14ac:dyDescent="0.25">
      <c r="A275">
        <v>272</v>
      </c>
      <c r="B275">
        <f t="shared" si="4"/>
        <v>23</v>
      </c>
      <c r="C275" s="28">
        <f>IF(A275&gt;'Immobilien-Kalkulation'!$B$70*12,0,IF(AND('Immobilien-Kalkulation'!$B$72=1,B275&gt;'Immobilien-Kalkulation'!$B$69),'Immobilien-Kalkulation'!$B$73,'Immobilien-Kalkulation'!$B$65))</f>
        <v>3.5000000000000003E-2</v>
      </c>
      <c r="D275" s="53">
        <f>IF(A275&gt;'Immobilien-Kalkulation'!$B$70*12,0,I274)</f>
        <v>111946.56791922223</v>
      </c>
      <c r="E275" s="53">
        <f>IF(OR(A275&gt;'Immobilien-Kalkulation'!$B$70*12,D275&lt;=0),0,IF(AND('Immobilien-Kalkulation'!$B$72=1,B275&gt;'Immobilien-Kalkulation'!$B$69),MIN(D275*C275/12+'Immobilien-Kalkulation'!$B$74/12,D275*(1+C275/12)),MIN('Immobilien-Kalkulation'!$B$67,D275*(1+C275/12))))</f>
        <v>1429.9603560928113</v>
      </c>
      <c r="F275" s="53">
        <f>IF(OR(A275&gt;'Immobilien-Kalkulation'!$B$70*12,D275&lt;=0),0,D275*C275/12)</f>
        <v>326.51082309773153</v>
      </c>
      <c r="G275" s="53">
        <f>IF(OR(A275&gt;'Immobilien-Kalkulation'!$B$70*12,D275&lt;=0),0,MAX(0,MIN(D275,E275-F275)))</f>
        <v>1103.4495329950796</v>
      </c>
      <c r="H275" s="95">
        <v>0</v>
      </c>
      <c r="I275" s="53">
        <f>IF(A275&gt;'Immobilien-Kalkulation'!$B$70*12,0,MAX(0,D275-G275-J275))</f>
        <v>110843.11838622716</v>
      </c>
      <c r="J275" s="53">
        <f>IF(OR(A275&gt;'Immobilien-Kalkulation'!$B$70*12,D275&lt;=0),0,MIN(H275,MAX(0,D275-G275)))</f>
        <v>0</v>
      </c>
    </row>
    <row r="276" spans="1:10" x14ac:dyDescent="0.25">
      <c r="A276">
        <v>273</v>
      </c>
      <c r="B276">
        <f t="shared" si="4"/>
        <v>23</v>
      </c>
      <c r="C276" s="28">
        <f>IF(A276&gt;'Immobilien-Kalkulation'!$B$70*12,0,IF(AND('Immobilien-Kalkulation'!$B$72=1,B276&gt;'Immobilien-Kalkulation'!$B$69),'Immobilien-Kalkulation'!$B$73,'Immobilien-Kalkulation'!$B$65))</f>
        <v>3.5000000000000003E-2</v>
      </c>
      <c r="D276" s="53">
        <f>IF(A276&gt;'Immobilien-Kalkulation'!$B$70*12,0,I275)</f>
        <v>110843.11838622716</v>
      </c>
      <c r="E276" s="53">
        <f>IF(OR(A276&gt;'Immobilien-Kalkulation'!$B$70*12,D276&lt;=0),0,IF(AND('Immobilien-Kalkulation'!$B$72=1,B276&gt;'Immobilien-Kalkulation'!$B$69),MIN(D276*C276/12+'Immobilien-Kalkulation'!$B$74/12,D276*(1+C276/12)),MIN('Immobilien-Kalkulation'!$B$67,D276*(1+C276/12))))</f>
        <v>1429.9603560928113</v>
      </c>
      <c r="F276" s="53">
        <f>IF(OR(A276&gt;'Immobilien-Kalkulation'!$B$70*12,D276&lt;=0),0,D276*C276/12)</f>
        <v>323.29242862649591</v>
      </c>
      <c r="G276" s="53">
        <f>IF(OR(A276&gt;'Immobilien-Kalkulation'!$B$70*12,D276&lt;=0),0,MAX(0,MIN(D276,E276-F276)))</f>
        <v>1106.6679274663154</v>
      </c>
      <c r="H276" s="95">
        <v>0</v>
      </c>
      <c r="I276" s="53">
        <f>IF(A276&gt;'Immobilien-Kalkulation'!$B$70*12,0,MAX(0,D276-G276-J276))</f>
        <v>109736.45045876084</v>
      </c>
      <c r="J276" s="53">
        <f>IF(OR(A276&gt;'Immobilien-Kalkulation'!$B$70*12,D276&lt;=0),0,MIN(H276,MAX(0,D276-G276)))</f>
        <v>0</v>
      </c>
    </row>
    <row r="277" spans="1:10" x14ac:dyDescent="0.25">
      <c r="A277">
        <v>274</v>
      </c>
      <c r="B277">
        <f t="shared" si="4"/>
        <v>23</v>
      </c>
      <c r="C277" s="28">
        <f>IF(A277&gt;'Immobilien-Kalkulation'!$B$70*12,0,IF(AND('Immobilien-Kalkulation'!$B$72=1,B277&gt;'Immobilien-Kalkulation'!$B$69),'Immobilien-Kalkulation'!$B$73,'Immobilien-Kalkulation'!$B$65))</f>
        <v>3.5000000000000003E-2</v>
      </c>
      <c r="D277" s="53">
        <f>IF(A277&gt;'Immobilien-Kalkulation'!$B$70*12,0,I276)</f>
        <v>109736.45045876084</v>
      </c>
      <c r="E277" s="53">
        <f>IF(OR(A277&gt;'Immobilien-Kalkulation'!$B$70*12,D277&lt;=0),0,IF(AND('Immobilien-Kalkulation'!$B$72=1,B277&gt;'Immobilien-Kalkulation'!$B$69),MIN(D277*C277/12+'Immobilien-Kalkulation'!$B$74/12,D277*(1+C277/12)),MIN('Immobilien-Kalkulation'!$B$67,D277*(1+C277/12))))</f>
        <v>1429.9603560928113</v>
      </c>
      <c r="F277" s="53">
        <f>IF(OR(A277&gt;'Immobilien-Kalkulation'!$B$70*12,D277&lt;=0),0,D277*C277/12)</f>
        <v>320.06464717138584</v>
      </c>
      <c r="G277" s="53">
        <f>IF(OR(A277&gt;'Immobilien-Kalkulation'!$B$70*12,D277&lt;=0),0,MAX(0,MIN(D277,E277-F277)))</f>
        <v>1109.8957089214255</v>
      </c>
      <c r="H277" s="95">
        <v>0</v>
      </c>
      <c r="I277" s="53">
        <f>IF(A277&gt;'Immobilien-Kalkulation'!$B$70*12,0,MAX(0,D277-G277-J277))</f>
        <v>108626.55474983942</v>
      </c>
      <c r="J277" s="53">
        <f>IF(OR(A277&gt;'Immobilien-Kalkulation'!$B$70*12,D277&lt;=0),0,MIN(H277,MAX(0,D277-G277)))</f>
        <v>0</v>
      </c>
    </row>
    <row r="278" spans="1:10" x14ac:dyDescent="0.25">
      <c r="A278">
        <v>275</v>
      </c>
      <c r="B278">
        <f t="shared" si="4"/>
        <v>23</v>
      </c>
      <c r="C278" s="28">
        <f>IF(A278&gt;'Immobilien-Kalkulation'!$B$70*12,0,IF(AND('Immobilien-Kalkulation'!$B$72=1,B278&gt;'Immobilien-Kalkulation'!$B$69),'Immobilien-Kalkulation'!$B$73,'Immobilien-Kalkulation'!$B$65))</f>
        <v>3.5000000000000003E-2</v>
      </c>
      <c r="D278" s="53">
        <f>IF(A278&gt;'Immobilien-Kalkulation'!$B$70*12,0,I277)</f>
        <v>108626.55474983942</v>
      </c>
      <c r="E278" s="53">
        <f>IF(OR(A278&gt;'Immobilien-Kalkulation'!$B$70*12,D278&lt;=0),0,IF(AND('Immobilien-Kalkulation'!$B$72=1,B278&gt;'Immobilien-Kalkulation'!$B$69),MIN(D278*C278/12+'Immobilien-Kalkulation'!$B$74/12,D278*(1+C278/12)),MIN('Immobilien-Kalkulation'!$B$67,D278*(1+C278/12))))</f>
        <v>1429.9603560928113</v>
      </c>
      <c r="F278" s="53">
        <f>IF(OR(A278&gt;'Immobilien-Kalkulation'!$B$70*12,D278&lt;=0),0,D278*C278/12)</f>
        <v>316.82745135369834</v>
      </c>
      <c r="G278" s="53">
        <f>IF(OR(A278&gt;'Immobilien-Kalkulation'!$B$70*12,D278&lt;=0),0,MAX(0,MIN(D278,E278-F278)))</f>
        <v>1113.132904739113</v>
      </c>
      <c r="H278" s="95">
        <v>0</v>
      </c>
      <c r="I278" s="53">
        <f>IF(A278&gt;'Immobilien-Kalkulation'!$B$70*12,0,MAX(0,D278-G278-J278))</f>
        <v>107513.4218451003</v>
      </c>
      <c r="J278" s="53">
        <f>IF(OR(A278&gt;'Immobilien-Kalkulation'!$B$70*12,D278&lt;=0),0,MIN(H278,MAX(0,D278-G278)))</f>
        <v>0</v>
      </c>
    </row>
    <row r="279" spans="1:10" x14ac:dyDescent="0.25">
      <c r="A279">
        <v>276</v>
      </c>
      <c r="B279">
        <f t="shared" si="4"/>
        <v>23</v>
      </c>
      <c r="C279" s="28">
        <f>IF(A279&gt;'Immobilien-Kalkulation'!$B$70*12,0,IF(AND('Immobilien-Kalkulation'!$B$72=1,B279&gt;'Immobilien-Kalkulation'!$B$69),'Immobilien-Kalkulation'!$B$73,'Immobilien-Kalkulation'!$B$65))</f>
        <v>3.5000000000000003E-2</v>
      </c>
      <c r="D279" s="53">
        <f>IF(A279&gt;'Immobilien-Kalkulation'!$B$70*12,0,I278)</f>
        <v>107513.4218451003</v>
      </c>
      <c r="E279" s="53">
        <f>IF(OR(A279&gt;'Immobilien-Kalkulation'!$B$70*12,D279&lt;=0),0,IF(AND('Immobilien-Kalkulation'!$B$72=1,B279&gt;'Immobilien-Kalkulation'!$B$69),MIN(D279*C279/12+'Immobilien-Kalkulation'!$B$74/12,D279*(1+C279/12)),MIN('Immobilien-Kalkulation'!$B$67,D279*(1+C279/12))))</f>
        <v>1429.9603560928113</v>
      </c>
      <c r="F279" s="53">
        <f>IF(OR(A279&gt;'Immobilien-Kalkulation'!$B$70*12,D279&lt;=0),0,D279*C279/12)</f>
        <v>313.58081371487589</v>
      </c>
      <c r="G279" s="53">
        <f>IF(OR(A279&gt;'Immobilien-Kalkulation'!$B$70*12,D279&lt;=0),0,MAX(0,MIN(D279,E279-F279)))</f>
        <v>1116.3795423779354</v>
      </c>
      <c r="H279" s="95">
        <v>0</v>
      </c>
      <c r="I279" s="53">
        <f>IF(A279&gt;'Immobilien-Kalkulation'!$B$70*12,0,MAX(0,D279-G279-J279))</f>
        <v>106397.04230272236</v>
      </c>
      <c r="J279" s="53">
        <f>IF(OR(A279&gt;'Immobilien-Kalkulation'!$B$70*12,D279&lt;=0),0,MIN(H279,MAX(0,D279-G279)))</f>
        <v>0</v>
      </c>
    </row>
    <row r="280" spans="1:10" x14ac:dyDescent="0.25">
      <c r="A280">
        <v>277</v>
      </c>
      <c r="B280">
        <f t="shared" si="4"/>
        <v>24</v>
      </c>
      <c r="C280" s="28">
        <f>IF(A280&gt;'Immobilien-Kalkulation'!$B$70*12,0,IF(AND('Immobilien-Kalkulation'!$B$72=1,B280&gt;'Immobilien-Kalkulation'!$B$69),'Immobilien-Kalkulation'!$B$73,'Immobilien-Kalkulation'!$B$65))</f>
        <v>3.5000000000000003E-2</v>
      </c>
      <c r="D280" s="53">
        <f>IF(A280&gt;'Immobilien-Kalkulation'!$B$70*12,0,I279)</f>
        <v>106397.04230272236</v>
      </c>
      <c r="E280" s="53">
        <f>IF(OR(A280&gt;'Immobilien-Kalkulation'!$B$70*12,D280&lt;=0),0,IF(AND('Immobilien-Kalkulation'!$B$72=1,B280&gt;'Immobilien-Kalkulation'!$B$69),MIN(D280*C280/12+'Immobilien-Kalkulation'!$B$74/12,D280*(1+C280/12)),MIN('Immobilien-Kalkulation'!$B$67,D280*(1+C280/12))))</f>
        <v>1429.9603560928113</v>
      </c>
      <c r="F280" s="53">
        <f>IF(OR(A280&gt;'Immobilien-Kalkulation'!$B$70*12,D280&lt;=0),0,D280*C280/12)</f>
        <v>310.32470671627357</v>
      </c>
      <c r="G280" s="53">
        <f>IF(OR(A280&gt;'Immobilien-Kalkulation'!$B$70*12,D280&lt;=0),0,MAX(0,MIN(D280,E280-F280)))</f>
        <v>1119.6356493765377</v>
      </c>
      <c r="H280" s="95">
        <v>0</v>
      </c>
      <c r="I280" s="53">
        <f>IF(A280&gt;'Immobilien-Kalkulation'!$B$70*12,0,MAX(0,D280-G280-J280))</f>
        <v>105277.40665334582</v>
      </c>
      <c r="J280" s="53">
        <f>IF(OR(A280&gt;'Immobilien-Kalkulation'!$B$70*12,D280&lt;=0),0,MIN(H280,MAX(0,D280-G280)))</f>
        <v>0</v>
      </c>
    </row>
    <row r="281" spans="1:10" x14ac:dyDescent="0.25">
      <c r="A281">
        <v>278</v>
      </c>
      <c r="B281">
        <f t="shared" si="4"/>
        <v>24</v>
      </c>
      <c r="C281" s="28">
        <f>IF(A281&gt;'Immobilien-Kalkulation'!$B$70*12,0,IF(AND('Immobilien-Kalkulation'!$B$72=1,B281&gt;'Immobilien-Kalkulation'!$B$69),'Immobilien-Kalkulation'!$B$73,'Immobilien-Kalkulation'!$B$65))</f>
        <v>3.5000000000000003E-2</v>
      </c>
      <c r="D281" s="53">
        <f>IF(A281&gt;'Immobilien-Kalkulation'!$B$70*12,0,I280)</f>
        <v>105277.40665334582</v>
      </c>
      <c r="E281" s="53">
        <f>IF(OR(A281&gt;'Immobilien-Kalkulation'!$B$70*12,D281&lt;=0),0,IF(AND('Immobilien-Kalkulation'!$B$72=1,B281&gt;'Immobilien-Kalkulation'!$B$69),MIN(D281*C281/12+'Immobilien-Kalkulation'!$B$74/12,D281*(1+C281/12)),MIN('Immobilien-Kalkulation'!$B$67,D281*(1+C281/12))))</f>
        <v>1429.9603560928113</v>
      </c>
      <c r="F281" s="53">
        <f>IF(OR(A281&gt;'Immobilien-Kalkulation'!$B$70*12,D281&lt;=0),0,D281*C281/12)</f>
        <v>307.05910273892533</v>
      </c>
      <c r="G281" s="53">
        <f>IF(OR(A281&gt;'Immobilien-Kalkulation'!$B$70*12,D281&lt;=0),0,MAX(0,MIN(D281,E281-F281)))</f>
        <v>1122.901253353886</v>
      </c>
      <c r="H281" s="95">
        <v>0</v>
      </c>
      <c r="I281" s="53">
        <f>IF(A281&gt;'Immobilien-Kalkulation'!$B$70*12,0,MAX(0,D281-G281-J281))</f>
        <v>104154.50539999193</v>
      </c>
      <c r="J281" s="53">
        <f>IF(OR(A281&gt;'Immobilien-Kalkulation'!$B$70*12,D281&lt;=0),0,MIN(H281,MAX(0,D281-G281)))</f>
        <v>0</v>
      </c>
    </row>
    <row r="282" spans="1:10" x14ac:dyDescent="0.25">
      <c r="A282">
        <v>279</v>
      </c>
      <c r="B282">
        <f t="shared" si="4"/>
        <v>24</v>
      </c>
      <c r="C282" s="28">
        <f>IF(A282&gt;'Immobilien-Kalkulation'!$B$70*12,0,IF(AND('Immobilien-Kalkulation'!$B$72=1,B282&gt;'Immobilien-Kalkulation'!$B$69),'Immobilien-Kalkulation'!$B$73,'Immobilien-Kalkulation'!$B$65))</f>
        <v>3.5000000000000003E-2</v>
      </c>
      <c r="D282" s="53">
        <f>IF(A282&gt;'Immobilien-Kalkulation'!$B$70*12,0,I281)</f>
        <v>104154.50539999193</v>
      </c>
      <c r="E282" s="53">
        <f>IF(OR(A282&gt;'Immobilien-Kalkulation'!$B$70*12,D282&lt;=0),0,IF(AND('Immobilien-Kalkulation'!$B$72=1,B282&gt;'Immobilien-Kalkulation'!$B$69),MIN(D282*C282/12+'Immobilien-Kalkulation'!$B$74/12,D282*(1+C282/12)),MIN('Immobilien-Kalkulation'!$B$67,D282*(1+C282/12))))</f>
        <v>1429.9603560928113</v>
      </c>
      <c r="F282" s="53">
        <f>IF(OR(A282&gt;'Immobilien-Kalkulation'!$B$70*12,D282&lt;=0),0,D282*C282/12)</f>
        <v>303.78397408330983</v>
      </c>
      <c r="G282" s="53">
        <f>IF(OR(A282&gt;'Immobilien-Kalkulation'!$B$70*12,D282&lt;=0),0,MAX(0,MIN(D282,E282-F282)))</f>
        <v>1126.1763820095014</v>
      </c>
      <c r="H282" s="95">
        <v>0</v>
      </c>
      <c r="I282" s="53">
        <f>IF(A282&gt;'Immobilien-Kalkulation'!$B$70*12,0,MAX(0,D282-G282-J282))</f>
        <v>103028.32901798243</v>
      </c>
      <c r="J282" s="53">
        <f>IF(OR(A282&gt;'Immobilien-Kalkulation'!$B$70*12,D282&lt;=0),0,MIN(H282,MAX(0,D282-G282)))</f>
        <v>0</v>
      </c>
    </row>
    <row r="283" spans="1:10" x14ac:dyDescent="0.25">
      <c r="A283">
        <v>280</v>
      </c>
      <c r="B283">
        <f t="shared" si="4"/>
        <v>24</v>
      </c>
      <c r="C283" s="28">
        <f>IF(A283&gt;'Immobilien-Kalkulation'!$B$70*12,0,IF(AND('Immobilien-Kalkulation'!$B$72=1,B283&gt;'Immobilien-Kalkulation'!$B$69),'Immobilien-Kalkulation'!$B$73,'Immobilien-Kalkulation'!$B$65))</f>
        <v>3.5000000000000003E-2</v>
      </c>
      <c r="D283" s="53">
        <f>IF(A283&gt;'Immobilien-Kalkulation'!$B$70*12,0,I282)</f>
        <v>103028.32901798243</v>
      </c>
      <c r="E283" s="53">
        <f>IF(OR(A283&gt;'Immobilien-Kalkulation'!$B$70*12,D283&lt;=0),0,IF(AND('Immobilien-Kalkulation'!$B$72=1,B283&gt;'Immobilien-Kalkulation'!$B$69),MIN(D283*C283/12+'Immobilien-Kalkulation'!$B$74/12,D283*(1+C283/12)),MIN('Immobilien-Kalkulation'!$B$67,D283*(1+C283/12))))</f>
        <v>1429.9603560928113</v>
      </c>
      <c r="F283" s="53">
        <f>IF(OR(A283&gt;'Immobilien-Kalkulation'!$B$70*12,D283&lt;=0),0,D283*C283/12)</f>
        <v>300.4992929691154</v>
      </c>
      <c r="G283" s="53">
        <f>IF(OR(A283&gt;'Immobilien-Kalkulation'!$B$70*12,D283&lt;=0),0,MAX(0,MIN(D283,E283-F283)))</f>
        <v>1129.4610631236958</v>
      </c>
      <c r="H283" s="95">
        <v>0</v>
      </c>
      <c r="I283" s="53">
        <f>IF(A283&gt;'Immobilien-Kalkulation'!$B$70*12,0,MAX(0,D283-G283-J283))</f>
        <v>101898.86795485872</v>
      </c>
      <c r="J283" s="53">
        <f>IF(OR(A283&gt;'Immobilien-Kalkulation'!$B$70*12,D283&lt;=0),0,MIN(H283,MAX(0,D283-G283)))</f>
        <v>0</v>
      </c>
    </row>
    <row r="284" spans="1:10" x14ac:dyDescent="0.25">
      <c r="A284">
        <v>281</v>
      </c>
      <c r="B284">
        <f t="shared" si="4"/>
        <v>24</v>
      </c>
      <c r="C284" s="28">
        <f>IF(A284&gt;'Immobilien-Kalkulation'!$B$70*12,0,IF(AND('Immobilien-Kalkulation'!$B$72=1,B284&gt;'Immobilien-Kalkulation'!$B$69),'Immobilien-Kalkulation'!$B$73,'Immobilien-Kalkulation'!$B$65))</f>
        <v>3.5000000000000003E-2</v>
      </c>
      <c r="D284" s="53">
        <f>IF(A284&gt;'Immobilien-Kalkulation'!$B$70*12,0,I283)</f>
        <v>101898.86795485872</v>
      </c>
      <c r="E284" s="53">
        <f>IF(OR(A284&gt;'Immobilien-Kalkulation'!$B$70*12,D284&lt;=0),0,IF(AND('Immobilien-Kalkulation'!$B$72=1,B284&gt;'Immobilien-Kalkulation'!$B$69),MIN(D284*C284/12+'Immobilien-Kalkulation'!$B$74/12,D284*(1+C284/12)),MIN('Immobilien-Kalkulation'!$B$67,D284*(1+C284/12))))</f>
        <v>1429.9603560928113</v>
      </c>
      <c r="F284" s="53">
        <f>IF(OR(A284&gt;'Immobilien-Kalkulation'!$B$70*12,D284&lt;=0),0,D284*C284/12)</f>
        <v>297.20503153500465</v>
      </c>
      <c r="G284" s="53">
        <f>IF(OR(A284&gt;'Immobilien-Kalkulation'!$B$70*12,D284&lt;=0),0,MAX(0,MIN(D284,E284-F284)))</f>
        <v>1132.7553245578065</v>
      </c>
      <c r="H284" s="95">
        <v>0</v>
      </c>
      <c r="I284" s="53">
        <f>IF(A284&gt;'Immobilien-Kalkulation'!$B$70*12,0,MAX(0,D284-G284-J284))</f>
        <v>100766.11263030092</v>
      </c>
      <c r="J284" s="53">
        <f>IF(OR(A284&gt;'Immobilien-Kalkulation'!$B$70*12,D284&lt;=0),0,MIN(H284,MAX(0,D284-G284)))</f>
        <v>0</v>
      </c>
    </row>
    <row r="285" spans="1:10" x14ac:dyDescent="0.25">
      <c r="A285">
        <v>282</v>
      </c>
      <c r="B285">
        <f t="shared" si="4"/>
        <v>24</v>
      </c>
      <c r="C285" s="28">
        <f>IF(A285&gt;'Immobilien-Kalkulation'!$B$70*12,0,IF(AND('Immobilien-Kalkulation'!$B$72=1,B285&gt;'Immobilien-Kalkulation'!$B$69),'Immobilien-Kalkulation'!$B$73,'Immobilien-Kalkulation'!$B$65))</f>
        <v>3.5000000000000003E-2</v>
      </c>
      <c r="D285" s="53">
        <f>IF(A285&gt;'Immobilien-Kalkulation'!$B$70*12,0,I284)</f>
        <v>100766.11263030092</v>
      </c>
      <c r="E285" s="53">
        <f>IF(OR(A285&gt;'Immobilien-Kalkulation'!$B$70*12,D285&lt;=0),0,IF(AND('Immobilien-Kalkulation'!$B$72=1,B285&gt;'Immobilien-Kalkulation'!$B$69),MIN(D285*C285/12+'Immobilien-Kalkulation'!$B$74/12,D285*(1+C285/12)),MIN('Immobilien-Kalkulation'!$B$67,D285*(1+C285/12))))</f>
        <v>1429.9603560928113</v>
      </c>
      <c r="F285" s="53">
        <f>IF(OR(A285&gt;'Immobilien-Kalkulation'!$B$70*12,D285&lt;=0),0,D285*C285/12)</f>
        <v>293.90116183837773</v>
      </c>
      <c r="G285" s="53">
        <f>IF(OR(A285&gt;'Immobilien-Kalkulation'!$B$70*12,D285&lt;=0),0,MAX(0,MIN(D285,E285-F285)))</f>
        <v>1136.0591942544336</v>
      </c>
      <c r="H285" s="95">
        <v>0</v>
      </c>
      <c r="I285" s="53">
        <f>IF(A285&gt;'Immobilien-Kalkulation'!$B$70*12,0,MAX(0,D285-G285-J285))</f>
        <v>99630.053436046495</v>
      </c>
      <c r="J285" s="53">
        <f>IF(OR(A285&gt;'Immobilien-Kalkulation'!$B$70*12,D285&lt;=0),0,MIN(H285,MAX(0,D285-G285)))</f>
        <v>0</v>
      </c>
    </row>
    <row r="286" spans="1:10" x14ac:dyDescent="0.25">
      <c r="A286">
        <v>283</v>
      </c>
      <c r="B286">
        <f t="shared" si="4"/>
        <v>24</v>
      </c>
      <c r="C286" s="28">
        <f>IF(A286&gt;'Immobilien-Kalkulation'!$B$70*12,0,IF(AND('Immobilien-Kalkulation'!$B$72=1,B286&gt;'Immobilien-Kalkulation'!$B$69),'Immobilien-Kalkulation'!$B$73,'Immobilien-Kalkulation'!$B$65))</f>
        <v>3.5000000000000003E-2</v>
      </c>
      <c r="D286" s="53">
        <f>IF(A286&gt;'Immobilien-Kalkulation'!$B$70*12,0,I285)</f>
        <v>99630.053436046495</v>
      </c>
      <c r="E286" s="53">
        <f>IF(OR(A286&gt;'Immobilien-Kalkulation'!$B$70*12,D286&lt;=0),0,IF(AND('Immobilien-Kalkulation'!$B$72=1,B286&gt;'Immobilien-Kalkulation'!$B$69),MIN(D286*C286/12+'Immobilien-Kalkulation'!$B$74/12,D286*(1+C286/12)),MIN('Immobilien-Kalkulation'!$B$67,D286*(1+C286/12))))</f>
        <v>1429.9603560928113</v>
      </c>
      <c r="F286" s="53">
        <f>IF(OR(A286&gt;'Immobilien-Kalkulation'!$B$70*12,D286&lt;=0),0,D286*C286/12)</f>
        <v>290.58765585513567</v>
      </c>
      <c r="G286" s="53">
        <f>IF(OR(A286&gt;'Immobilien-Kalkulation'!$B$70*12,D286&lt;=0),0,MAX(0,MIN(D286,E286-F286)))</f>
        <v>1139.3727002376756</v>
      </c>
      <c r="H286" s="95">
        <v>0</v>
      </c>
      <c r="I286" s="53">
        <f>IF(A286&gt;'Immobilien-Kalkulation'!$B$70*12,0,MAX(0,D286-G286-J286))</f>
        <v>98490.680735808826</v>
      </c>
      <c r="J286" s="53">
        <f>IF(OR(A286&gt;'Immobilien-Kalkulation'!$B$70*12,D286&lt;=0),0,MIN(H286,MAX(0,D286-G286)))</f>
        <v>0</v>
      </c>
    </row>
    <row r="287" spans="1:10" x14ac:dyDescent="0.25">
      <c r="A287">
        <v>284</v>
      </c>
      <c r="B287">
        <f t="shared" si="4"/>
        <v>24</v>
      </c>
      <c r="C287" s="28">
        <f>IF(A287&gt;'Immobilien-Kalkulation'!$B$70*12,0,IF(AND('Immobilien-Kalkulation'!$B$72=1,B287&gt;'Immobilien-Kalkulation'!$B$69),'Immobilien-Kalkulation'!$B$73,'Immobilien-Kalkulation'!$B$65))</f>
        <v>3.5000000000000003E-2</v>
      </c>
      <c r="D287" s="53">
        <f>IF(A287&gt;'Immobilien-Kalkulation'!$B$70*12,0,I286)</f>
        <v>98490.680735808826</v>
      </c>
      <c r="E287" s="53">
        <f>IF(OR(A287&gt;'Immobilien-Kalkulation'!$B$70*12,D287&lt;=0),0,IF(AND('Immobilien-Kalkulation'!$B$72=1,B287&gt;'Immobilien-Kalkulation'!$B$69),MIN(D287*C287/12+'Immobilien-Kalkulation'!$B$74/12,D287*(1+C287/12)),MIN('Immobilien-Kalkulation'!$B$67,D287*(1+C287/12))))</f>
        <v>1429.9603560928113</v>
      </c>
      <c r="F287" s="53">
        <f>IF(OR(A287&gt;'Immobilien-Kalkulation'!$B$70*12,D287&lt;=0),0,D287*C287/12)</f>
        <v>287.26448547944244</v>
      </c>
      <c r="G287" s="53">
        <f>IF(OR(A287&gt;'Immobilien-Kalkulation'!$B$70*12,D287&lt;=0),0,MAX(0,MIN(D287,E287-F287)))</f>
        <v>1142.6958706133687</v>
      </c>
      <c r="H287" s="95">
        <v>0</v>
      </c>
      <c r="I287" s="53">
        <f>IF(A287&gt;'Immobilien-Kalkulation'!$B$70*12,0,MAX(0,D287-G287-J287))</f>
        <v>97347.984865195453</v>
      </c>
      <c r="J287" s="53">
        <f>IF(OR(A287&gt;'Immobilien-Kalkulation'!$B$70*12,D287&lt;=0),0,MIN(H287,MAX(0,D287-G287)))</f>
        <v>0</v>
      </c>
    </row>
    <row r="288" spans="1:10" x14ac:dyDescent="0.25">
      <c r="A288">
        <v>285</v>
      </c>
      <c r="B288">
        <f t="shared" si="4"/>
        <v>24</v>
      </c>
      <c r="C288" s="28">
        <f>IF(A288&gt;'Immobilien-Kalkulation'!$B$70*12,0,IF(AND('Immobilien-Kalkulation'!$B$72=1,B288&gt;'Immobilien-Kalkulation'!$B$69),'Immobilien-Kalkulation'!$B$73,'Immobilien-Kalkulation'!$B$65))</f>
        <v>3.5000000000000003E-2</v>
      </c>
      <c r="D288" s="53">
        <f>IF(A288&gt;'Immobilien-Kalkulation'!$B$70*12,0,I287)</f>
        <v>97347.984865195453</v>
      </c>
      <c r="E288" s="53">
        <f>IF(OR(A288&gt;'Immobilien-Kalkulation'!$B$70*12,D288&lt;=0),0,IF(AND('Immobilien-Kalkulation'!$B$72=1,B288&gt;'Immobilien-Kalkulation'!$B$69),MIN(D288*C288/12+'Immobilien-Kalkulation'!$B$74/12,D288*(1+C288/12)),MIN('Immobilien-Kalkulation'!$B$67,D288*(1+C288/12))))</f>
        <v>1429.9603560928113</v>
      </c>
      <c r="F288" s="53">
        <f>IF(OR(A288&gt;'Immobilien-Kalkulation'!$B$70*12,D288&lt;=0),0,D288*C288/12)</f>
        <v>283.93162252348674</v>
      </c>
      <c r="G288" s="53">
        <f>IF(OR(A288&gt;'Immobilien-Kalkulation'!$B$70*12,D288&lt;=0),0,MAX(0,MIN(D288,E288-F288)))</f>
        <v>1146.0287335693245</v>
      </c>
      <c r="H288" s="95">
        <v>0</v>
      </c>
      <c r="I288" s="53">
        <f>IF(A288&gt;'Immobilien-Kalkulation'!$B$70*12,0,MAX(0,D288-G288-J288))</f>
        <v>96201.956131626124</v>
      </c>
      <c r="J288" s="53">
        <f>IF(OR(A288&gt;'Immobilien-Kalkulation'!$B$70*12,D288&lt;=0),0,MIN(H288,MAX(0,D288-G288)))</f>
        <v>0</v>
      </c>
    </row>
    <row r="289" spans="1:10" x14ac:dyDescent="0.25">
      <c r="A289">
        <v>286</v>
      </c>
      <c r="B289">
        <f t="shared" si="4"/>
        <v>24</v>
      </c>
      <c r="C289" s="28">
        <f>IF(A289&gt;'Immobilien-Kalkulation'!$B$70*12,0,IF(AND('Immobilien-Kalkulation'!$B$72=1,B289&gt;'Immobilien-Kalkulation'!$B$69),'Immobilien-Kalkulation'!$B$73,'Immobilien-Kalkulation'!$B$65))</f>
        <v>3.5000000000000003E-2</v>
      </c>
      <c r="D289" s="53">
        <f>IF(A289&gt;'Immobilien-Kalkulation'!$B$70*12,0,I288)</f>
        <v>96201.956131626124</v>
      </c>
      <c r="E289" s="53">
        <f>IF(OR(A289&gt;'Immobilien-Kalkulation'!$B$70*12,D289&lt;=0),0,IF(AND('Immobilien-Kalkulation'!$B$72=1,B289&gt;'Immobilien-Kalkulation'!$B$69),MIN(D289*C289/12+'Immobilien-Kalkulation'!$B$74/12,D289*(1+C289/12)),MIN('Immobilien-Kalkulation'!$B$67,D289*(1+C289/12))))</f>
        <v>1429.9603560928113</v>
      </c>
      <c r="F289" s="53">
        <f>IF(OR(A289&gt;'Immobilien-Kalkulation'!$B$70*12,D289&lt;=0),0,D289*C289/12)</f>
        <v>280.58903871724289</v>
      </c>
      <c r="G289" s="53">
        <f>IF(OR(A289&gt;'Immobilien-Kalkulation'!$B$70*12,D289&lt;=0),0,MAX(0,MIN(D289,E289-F289)))</f>
        <v>1149.3713173755684</v>
      </c>
      <c r="H289" s="95">
        <v>0</v>
      </c>
      <c r="I289" s="53">
        <f>IF(A289&gt;'Immobilien-Kalkulation'!$B$70*12,0,MAX(0,D289-G289-J289))</f>
        <v>95052.584814250557</v>
      </c>
      <c r="J289" s="53">
        <f>IF(OR(A289&gt;'Immobilien-Kalkulation'!$B$70*12,D289&lt;=0),0,MIN(H289,MAX(0,D289-G289)))</f>
        <v>0</v>
      </c>
    </row>
    <row r="290" spans="1:10" x14ac:dyDescent="0.25">
      <c r="A290">
        <v>287</v>
      </c>
      <c r="B290">
        <f t="shared" si="4"/>
        <v>24</v>
      </c>
      <c r="C290" s="28">
        <f>IF(A290&gt;'Immobilien-Kalkulation'!$B$70*12,0,IF(AND('Immobilien-Kalkulation'!$B$72=1,B290&gt;'Immobilien-Kalkulation'!$B$69),'Immobilien-Kalkulation'!$B$73,'Immobilien-Kalkulation'!$B$65))</f>
        <v>3.5000000000000003E-2</v>
      </c>
      <c r="D290" s="53">
        <f>IF(A290&gt;'Immobilien-Kalkulation'!$B$70*12,0,I289)</f>
        <v>95052.584814250557</v>
      </c>
      <c r="E290" s="53">
        <f>IF(OR(A290&gt;'Immobilien-Kalkulation'!$B$70*12,D290&lt;=0),0,IF(AND('Immobilien-Kalkulation'!$B$72=1,B290&gt;'Immobilien-Kalkulation'!$B$69),MIN(D290*C290/12+'Immobilien-Kalkulation'!$B$74/12,D290*(1+C290/12)),MIN('Immobilien-Kalkulation'!$B$67,D290*(1+C290/12))))</f>
        <v>1429.9603560928113</v>
      </c>
      <c r="F290" s="53">
        <f>IF(OR(A290&gt;'Immobilien-Kalkulation'!$B$70*12,D290&lt;=0),0,D290*C290/12)</f>
        <v>277.23670570823083</v>
      </c>
      <c r="G290" s="53">
        <f>IF(OR(A290&gt;'Immobilien-Kalkulation'!$B$70*12,D290&lt;=0),0,MAX(0,MIN(D290,E290-F290)))</f>
        <v>1152.7236503845804</v>
      </c>
      <c r="H290" s="95">
        <v>0</v>
      </c>
      <c r="I290" s="53">
        <f>IF(A290&gt;'Immobilien-Kalkulation'!$B$70*12,0,MAX(0,D290-G290-J290))</f>
        <v>93899.861163865979</v>
      </c>
      <c r="J290" s="53">
        <f>IF(OR(A290&gt;'Immobilien-Kalkulation'!$B$70*12,D290&lt;=0),0,MIN(H290,MAX(0,D290-G290)))</f>
        <v>0</v>
      </c>
    </row>
    <row r="291" spans="1:10" x14ac:dyDescent="0.25">
      <c r="A291">
        <v>288</v>
      </c>
      <c r="B291">
        <f t="shared" si="4"/>
        <v>24</v>
      </c>
      <c r="C291" s="28">
        <f>IF(A291&gt;'Immobilien-Kalkulation'!$B$70*12,0,IF(AND('Immobilien-Kalkulation'!$B$72=1,B291&gt;'Immobilien-Kalkulation'!$B$69),'Immobilien-Kalkulation'!$B$73,'Immobilien-Kalkulation'!$B$65))</f>
        <v>3.5000000000000003E-2</v>
      </c>
      <c r="D291" s="53">
        <f>IF(A291&gt;'Immobilien-Kalkulation'!$B$70*12,0,I290)</f>
        <v>93899.861163865979</v>
      </c>
      <c r="E291" s="53">
        <f>IF(OR(A291&gt;'Immobilien-Kalkulation'!$B$70*12,D291&lt;=0),0,IF(AND('Immobilien-Kalkulation'!$B$72=1,B291&gt;'Immobilien-Kalkulation'!$B$69),MIN(D291*C291/12+'Immobilien-Kalkulation'!$B$74/12,D291*(1+C291/12)),MIN('Immobilien-Kalkulation'!$B$67,D291*(1+C291/12))))</f>
        <v>1429.9603560928113</v>
      </c>
      <c r="F291" s="53">
        <f>IF(OR(A291&gt;'Immobilien-Kalkulation'!$B$70*12,D291&lt;=0),0,D291*C291/12)</f>
        <v>273.87459506127578</v>
      </c>
      <c r="G291" s="53">
        <f>IF(OR(A291&gt;'Immobilien-Kalkulation'!$B$70*12,D291&lt;=0),0,MAX(0,MIN(D291,E291-F291)))</f>
        <v>1156.0857610315354</v>
      </c>
      <c r="H291" s="95">
        <v>0</v>
      </c>
      <c r="I291" s="53">
        <f>IF(A291&gt;'Immobilien-Kalkulation'!$B$70*12,0,MAX(0,D291-G291-J291))</f>
        <v>92743.77540283445</v>
      </c>
      <c r="J291" s="53">
        <f>IF(OR(A291&gt;'Immobilien-Kalkulation'!$B$70*12,D291&lt;=0),0,MIN(H291,MAX(0,D291-G291)))</f>
        <v>0</v>
      </c>
    </row>
    <row r="292" spans="1:10" x14ac:dyDescent="0.25">
      <c r="A292">
        <v>289</v>
      </c>
      <c r="B292">
        <f t="shared" si="4"/>
        <v>25</v>
      </c>
      <c r="C292" s="28">
        <f>IF(A292&gt;'Immobilien-Kalkulation'!$B$70*12,0,IF(AND('Immobilien-Kalkulation'!$B$72=1,B292&gt;'Immobilien-Kalkulation'!$B$69),'Immobilien-Kalkulation'!$B$73,'Immobilien-Kalkulation'!$B$65))</f>
        <v>3.5000000000000003E-2</v>
      </c>
      <c r="D292" s="53">
        <f>IF(A292&gt;'Immobilien-Kalkulation'!$B$70*12,0,I291)</f>
        <v>92743.77540283445</v>
      </c>
      <c r="E292" s="53">
        <f>IF(OR(A292&gt;'Immobilien-Kalkulation'!$B$70*12,D292&lt;=0),0,IF(AND('Immobilien-Kalkulation'!$B$72=1,B292&gt;'Immobilien-Kalkulation'!$B$69),MIN(D292*C292/12+'Immobilien-Kalkulation'!$B$74/12,D292*(1+C292/12)),MIN('Immobilien-Kalkulation'!$B$67,D292*(1+C292/12))))</f>
        <v>1429.9603560928113</v>
      </c>
      <c r="F292" s="53">
        <f>IF(OR(A292&gt;'Immobilien-Kalkulation'!$B$70*12,D292&lt;=0),0,D292*C292/12)</f>
        <v>270.50267825826717</v>
      </c>
      <c r="G292" s="53">
        <f>IF(OR(A292&gt;'Immobilien-Kalkulation'!$B$70*12,D292&lt;=0),0,MAX(0,MIN(D292,E292-F292)))</f>
        <v>1159.457677834544</v>
      </c>
      <c r="H292" s="95">
        <v>0</v>
      </c>
      <c r="I292" s="53">
        <f>IF(A292&gt;'Immobilien-Kalkulation'!$B$70*12,0,MAX(0,D292-G292-J292))</f>
        <v>91584.317724999899</v>
      </c>
      <c r="J292" s="53">
        <f>IF(OR(A292&gt;'Immobilien-Kalkulation'!$B$70*12,D292&lt;=0),0,MIN(H292,MAX(0,D292-G292)))</f>
        <v>0</v>
      </c>
    </row>
    <row r="293" spans="1:10" x14ac:dyDescent="0.25">
      <c r="A293">
        <v>290</v>
      </c>
      <c r="B293">
        <f t="shared" si="4"/>
        <v>25</v>
      </c>
      <c r="C293" s="28">
        <f>IF(A293&gt;'Immobilien-Kalkulation'!$B$70*12,0,IF(AND('Immobilien-Kalkulation'!$B$72=1,B293&gt;'Immobilien-Kalkulation'!$B$69),'Immobilien-Kalkulation'!$B$73,'Immobilien-Kalkulation'!$B$65))</f>
        <v>3.5000000000000003E-2</v>
      </c>
      <c r="D293" s="53">
        <f>IF(A293&gt;'Immobilien-Kalkulation'!$B$70*12,0,I292)</f>
        <v>91584.317724999899</v>
      </c>
      <c r="E293" s="53">
        <f>IF(OR(A293&gt;'Immobilien-Kalkulation'!$B$70*12,D293&lt;=0),0,IF(AND('Immobilien-Kalkulation'!$B$72=1,B293&gt;'Immobilien-Kalkulation'!$B$69),MIN(D293*C293/12+'Immobilien-Kalkulation'!$B$74/12,D293*(1+C293/12)),MIN('Immobilien-Kalkulation'!$B$67,D293*(1+C293/12))))</f>
        <v>1429.9603560928113</v>
      </c>
      <c r="F293" s="53">
        <f>IF(OR(A293&gt;'Immobilien-Kalkulation'!$B$70*12,D293&lt;=0),0,D293*C293/12)</f>
        <v>267.12092669791639</v>
      </c>
      <c r="G293" s="53">
        <f>IF(OR(A293&gt;'Immobilien-Kalkulation'!$B$70*12,D293&lt;=0),0,MAX(0,MIN(D293,E293-F293)))</f>
        <v>1162.839429394895</v>
      </c>
      <c r="H293" s="95">
        <v>0</v>
      </c>
      <c r="I293" s="53">
        <f>IF(A293&gt;'Immobilien-Kalkulation'!$B$70*12,0,MAX(0,D293-G293-J293))</f>
        <v>90421.478295605004</v>
      </c>
      <c r="J293" s="53">
        <f>IF(OR(A293&gt;'Immobilien-Kalkulation'!$B$70*12,D293&lt;=0),0,MIN(H293,MAX(0,D293-G293)))</f>
        <v>0</v>
      </c>
    </row>
    <row r="294" spans="1:10" x14ac:dyDescent="0.25">
      <c r="A294">
        <v>291</v>
      </c>
      <c r="B294">
        <f t="shared" si="4"/>
        <v>25</v>
      </c>
      <c r="C294" s="28">
        <f>IF(A294&gt;'Immobilien-Kalkulation'!$B$70*12,0,IF(AND('Immobilien-Kalkulation'!$B$72=1,B294&gt;'Immobilien-Kalkulation'!$B$69),'Immobilien-Kalkulation'!$B$73,'Immobilien-Kalkulation'!$B$65))</f>
        <v>3.5000000000000003E-2</v>
      </c>
      <c r="D294" s="53">
        <f>IF(A294&gt;'Immobilien-Kalkulation'!$B$70*12,0,I293)</f>
        <v>90421.478295605004</v>
      </c>
      <c r="E294" s="53">
        <f>IF(OR(A294&gt;'Immobilien-Kalkulation'!$B$70*12,D294&lt;=0),0,IF(AND('Immobilien-Kalkulation'!$B$72=1,B294&gt;'Immobilien-Kalkulation'!$B$69),MIN(D294*C294/12+'Immobilien-Kalkulation'!$B$74/12,D294*(1+C294/12)),MIN('Immobilien-Kalkulation'!$B$67,D294*(1+C294/12))))</f>
        <v>1429.9603560928113</v>
      </c>
      <c r="F294" s="53">
        <f>IF(OR(A294&gt;'Immobilien-Kalkulation'!$B$70*12,D294&lt;=0),0,D294*C294/12)</f>
        <v>263.72931169551464</v>
      </c>
      <c r="G294" s="53">
        <f>IF(OR(A294&gt;'Immobilien-Kalkulation'!$B$70*12,D294&lt;=0),0,MAX(0,MIN(D294,E294-F294)))</f>
        <v>1166.2310443972965</v>
      </c>
      <c r="H294" s="95">
        <v>0</v>
      </c>
      <c r="I294" s="53">
        <f>IF(A294&gt;'Immobilien-Kalkulation'!$B$70*12,0,MAX(0,D294-G294-J294))</f>
        <v>89255.247251207707</v>
      </c>
      <c r="J294" s="53">
        <f>IF(OR(A294&gt;'Immobilien-Kalkulation'!$B$70*12,D294&lt;=0),0,MIN(H294,MAX(0,D294-G294)))</f>
        <v>0</v>
      </c>
    </row>
    <row r="295" spans="1:10" x14ac:dyDescent="0.25">
      <c r="A295">
        <v>292</v>
      </c>
      <c r="B295">
        <f t="shared" si="4"/>
        <v>25</v>
      </c>
      <c r="C295" s="28">
        <f>IF(A295&gt;'Immobilien-Kalkulation'!$B$70*12,0,IF(AND('Immobilien-Kalkulation'!$B$72=1,B295&gt;'Immobilien-Kalkulation'!$B$69),'Immobilien-Kalkulation'!$B$73,'Immobilien-Kalkulation'!$B$65))</f>
        <v>3.5000000000000003E-2</v>
      </c>
      <c r="D295" s="53">
        <f>IF(A295&gt;'Immobilien-Kalkulation'!$B$70*12,0,I294)</f>
        <v>89255.247251207707</v>
      </c>
      <c r="E295" s="53">
        <f>IF(OR(A295&gt;'Immobilien-Kalkulation'!$B$70*12,D295&lt;=0),0,IF(AND('Immobilien-Kalkulation'!$B$72=1,B295&gt;'Immobilien-Kalkulation'!$B$69),MIN(D295*C295/12+'Immobilien-Kalkulation'!$B$74/12,D295*(1+C295/12)),MIN('Immobilien-Kalkulation'!$B$67,D295*(1+C295/12))))</f>
        <v>1429.9603560928113</v>
      </c>
      <c r="F295" s="53">
        <f>IF(OR(A295&gt;'Immobilien-Kalkulation'!$B$70*12,D295&lt;=0),0,D295*C295/12)</f>
        <v>260.32780448268915</v>
      </c>
      <c r="G295" s="53">
        <f>IF(OR(A295&gt;'Immobilien-Kalkulation'!$B$70*12,D295&lt;=0),0,MAX(0,MIN(D295,E295-F295)))</f>
        <v>1169.6325516101222</v>
      </c>
      <c r="H295" s="95">
        <v>0</v>
      </c>
      <c r="I295" s="53">
        <f>IF(A295&gt;'Immobilien-Kalkulation'!$B$70*12,0,MAX(0,D295-G295-J295))</f>
        <v>88085.614699597587</v>
      </c>
      <c r="J295" s="53">
        <f>IF(OR(A295&gt;'Immobilien-Kalkulation'!$B$70*12,D295&lt;=0),0,MIN(H295,MAX(0,D295-G295)))</f>
        <v>0</v>
      </c>
    </row>
    <row r="296" spans="1:10" x14ac:dyDescent="0.25">
      <c r="A296">
        <v>293</v>
      </c>
      <c r="B296">
        <f t="shared" si="4"/>
        <v>25</v>
      </c>
      <c r="C296" s="28">
        <f>IF(A296&gt;'Immobilien-Kalkulation'!$B$70*12,0,IF(AND('Immobilien-Kalkulation'!$B$72=1,B296&gt;'Immobilien-Kalkulation'!$B$69),'Immobilien-Kalkulation'!$B$73,'Immobilien-Kalkulation'!$B$65))</f>
        <v>3.5000000000000003E-2</v>
      </c>
      <c r="D296" s="53">
        <f>IF(A296&gt;'Immobilien-Kalkulation'!$B$70*12,0,I295)</f>
        <v>88085.614699597587</v>
      </c>
      <c r="E296" s="53">
        <f>IF(OR(A296&gt;'Immobilien-Kalkulation'!$B$70*12,D296&lt;=0),0,IF(AND('Immobilien-Kalkulation'!$B$72=1,B296&gt;'Immobilien-Kalkulation'!$B$69),MIN(D296*C296/12+'Immobilien-Kalkulation'!$B$74/12,D296*(1+C296/12)),MIN('Immobilien-Kalkulation'!$B$67,D296*(1+C296/12))))</f>
        <v>1429.9603560928113</v>
      </c>
      <c r="F296" s="53">
        <f>IF(OR(A296&gt;'Immobilien-Kalkulation'!$B$70*12,D296&lt;=0),0,D296*C296/12)</f>
        <v>256.91637620715966</v>
      </c>
      <c r="G296" s="53">
        <f>IF(OR(A296&gt;'Immobilien-Kalkulation'!$B$70*12,D296&lt;=0),0,MAX(0,MIN(D296,E296-F296)))</f>
        <v>1173.0439798856517</v>
      </c>
      <c r="H296" s="95">
        <v>0</v>
      </c>
      <c r="I296" s="53">
        <f>IF(A296&gt;'Immobilien-Kalkulation'!$B$70*12,0,MAX(0,D296-G296-J296))</f>
        <v>86912.570719711934</v>
      </c>
      <c r="J296" s="53">
        <f>IF(OR(A296&gt;'Immobilien-Kalkulation'!$B$70*12,D296&lt;=0),0,MIN(H296,MAX(0,D296-G296)))</f>
        <v>0</v>
      </c>
    </row>
    <row r="297" spans="1:10" x14ac:dyDescent="0.25">
      <c r="A297">
        <v>294</v>
      </c>
      <c r="B297">
        <f t="shared" si="4"/>
        <v>25</v>
      </c>
      <c r="C297" s="28">
        <f>IF(A297&gt;'Immobilien-Kalkulation'!$B$70*12,0,IF(AND('Immobilien-Kalkulation'!$B$72=1,B297&gt;'Immobilien-Kalkulation'!$B$69),'Immobilien-Kalkulation'!$B$73,'Immobilien-Kalkulation'!$B$65))</f>
        <v>3.5000000000000003E-2</v>
      </c>
      <c r="D297" s="53">
        <f>IF(A297&gt;'Immobilien-Kalkulation'!$B$70*12,0,I296)</f>
        <v>86912.570719711934</v>
      </c>
      <c r="E297" s="53">
        <f>IF(OR(A297&gt;'Immobilien-Kalkulation'!$B$70*12,D297&lt;=0),0,IF(AND('Immobilien-Kalkulation'!$B$72=1,B297&gt;'Immobilien-Kalkulation'!$B$69),MIN(D297*C297/12+'Immobilien-Kalkulation'!$B$74/12,D297*(1+C297/12)),MIN('Immobilien-Kalkulation'!$B$67,D297*(1+C297/12))))</f>
        <v>1429.9603560928113</v>
      </c>
      <c r="F297" s="53">
        <f>IF(OR(A297&gt;'Immobilien-Kalkulation'!$B$70*12,D297&lt;=0),0,D297*C297/12)</f>
        <v>253.49499793249319</v>
      </c>
      <c r="G297" s="53">
        <f>IF(OR(A297&gt;'Immobilien-Kalkulation'!$B$70*12,D297&lt;=0),0,MAX(0,MIN(D297,E297-F297)))</f>
        <v>1176.4653581603181</v>
      </c>
      <c r="H297" s="95">
        <v>0</v>
      </c>
      <c r="I297" s="53">
        <f>IF(A297&gt;'Immobilien-Kalkulation'!$B$70*12,0,MAX(0,D297-G297-J297))</f>
        <v>85736.105361551614</v>
      </c>
      <c r="J297" s="53">
        <f>IF(OR(A297&gt;'Immobilien-Kalkulation'!$B$70*12,D297&lt;=0),0,MIN(H297,MAX(0,D297-G297)))</f>
        <v>0</v>
      </c>
    </row>
    <row r="298" spans="1:10" x14ac:dyDescent="0.25">
      <c r="A298">
        <v>295</v>
      </c>
      <c r="B298">
        <f t="shared" si="4"/>
        <v>25</v>
      </c>
      <c r="C298" s="28">
        <f>IF(A298&gt;'Immobilien-Kalkulation'!$B$70*12,0,IF(AND('Immobilien-Kalkulation'!$B$72=1,B298&gt;'Immobilien-Kalkulation'!$B$69),'Immobilien-Kalkulation'!$B$73,'Immobilien-Kalkulation'!$B$65))</f>
        <v>3.5000000000000003E-2</v>
      </c>
      <c r="D298" s="53">
        <f>IF(A298&gt;'Immobilien-Kalkulation'!$B$70*12,0,I297)</f>
        <v>85736.105361551614</v>
      </c>
      <c r="E298" s="53">
        <f>IF(OR(A298&gt;'Immobilien-Kalkulation'!$B$70*12,D298&lt;=0),0,IF(AND('Immobilien-Kalkulation'!$B$72=1,B298&gt;'Immobilien-Kalkulation'!$B$69),MIN(D298*C298/12+'Immobilien-Kalkulation'!$B$74/12,D298*(1+C298/12)),MIN('Immobilien-Kalkulation'!$B$67,D298*(1+C298/12))))</f>
        <v>1429.9603560928113</v>
      </c>
      <c r="F298" s="53">
        <f>IF(OR(A298&gt;'Immobilien-Kalkulation'!$B$70*12,D298&lt;=0),0,D298*C298/12)</f>
        <v>250.06364063785892</v>
      </c>
      <c r="G298" s="53">
        <f>IF(OR(A298&gt;'Immobilien-Kalkulation'!$B$70*12,D298&lt;=0),0,MAX(0,MIN(D298,E298-F298)))</f>
        <v>1179.8967154549523</v>
      </c>
      <c r="H298" s="95">
        <v>0</v>
      </c>
      <c r="I298" s="53">
        <f>IF(A298&gt;'Immobilien-Kalkulation'!$B$70*12,0,MAX(0,D298-G298-J298))</f>
        <v>84556.208646096668</v>
      </c>
      <c r="J298" s="53">
        <f>IF(OR(A298&gt;'Immobilien-Kalkulation'!$B$70*12,D298&lt;=0),0,MIN(H298,MAX(0,D298-G298)))</f>
        <v>0</v>
      </c>
    </row>
    <row r="299" spans="1:10" x14ac:dyDescent="0.25">
      <c r="A299">
        <v>296</v>
      </c>
      <c r="B299">
        <f t="shared" si="4"/>
        <v>25</v>
      </c>
      <c r="C299" s="28">
        <f>IF(A299&gt;'Immobilien-Kalkulation'!$B$70*12,0,IF(AND('Immobilien-Kalkulation'!$B$72=1,B299&gt;'Immobilien-Kalkulation'!$B$69),'Immobilien-Kalkulation'!$B$73,'Immobilien-Kalkulation'!$B$65))</f>
        <v>3.5000000000000003E-2</v>
      </c>
      <c r="D299" s="53">
        <f>IF(A299&gt;'Immobilien-Kalkulation'!$B$70*12,0,I298)</f>
        <v>84556.208646096668</v>
      </c>
      <c r="E299" s="53">
        <f>IF(OR(A299&gt;'Immobilien-Kalkulation'!$B$70*12,D299&lt;=0),0,IF(AND('Immobilien-Kalkulation'!$B$72=1,B299&gt;'Immobilien-Kalkulation'!$B$69),MIN(D299*C299/12+'Immobilien-Kalkulation'!$B$74/12,D299*(1+C299/12)),MIN('Immobilien-Kalkulation'!$B$67,D299*(1+C299/12))))</f>
        <v>1429.9603560928113</v>
      </c>
      <c r="F299" s="53">
        <f>IF(OR(A299&gt;'Immobilien-Kalkulation'!$B$70*12,D299&lt;=0),0,D299*C299/12)</f>
        <v>246.62227521778198</v>
      </c>
      <c r="G299" s="53">
        <f>IF(OR(A299&gt;'Immobilien-Kalkulation'!$B$70*12,D299&lt;=0),0,MAX(0,MIN(D299,E299-F299)))</f>
        <v>1183.3380808750294</v>
      </c>
      <c r="H299" s="95">
        <v>0</v>
      </c>
      <c r="I299" s="53">
        <f>IF(A299&gt;'Immobilien-Kalkulation'!$B$70*12,0,MAX(0,D299-G299-J299))</f>
        <v>83372.870565221645</v>
      </c>
      <c r="J299" s="53">
        <f>IF(OR(A299&gt;'Immobilien-Kalkulation'!$B$70*12,D299&lt;=0),0,MIN(H299,MAX(0,D299-G299)))</f>
        <v>0</v>
      </c>
    </row>
    <row r="300" spans="1:10" x14ac:dyDescent="0.25">
      <c r="A300">
        <v>297</v>
      </c>
      <c r="B300">
        <f t="shared" si="4"/>
        <v>25</v>
      </c>
      <c r="C300" s="28">
        <f>IF(A300&gt;'Immobilien-Kalkulation'!$B$70*12,0,IF(AND('Immobilien-Kalkulation'!$B$72=1,B300&gt;'Immobilien-Kalkulation'!$B$69),'Immobilien-Kalkulation'!$B$73,'Immobilien-Kalkulation'!$B$65))</f>
        <v>3.5000000000000003E-2</v>
      </c>
      <c r="D300" s="53">
        <f>IF(A300&gt;'Immobilien-Kalkulation'!$B$70*12,0,I299)</f>
        <v>83372.870565221645</v>
      </c>
      <c r="E300" s="53">
        <f>IF(OR(A300&gt;'Immobilien-Kalkulation'!$B$70*12,D300&lt;=0),0,IF(AND('Immobilien-Kalkulation'!$B$72=1,B300&gt;'Immobilien-Kalkulation'!$B$69),MIN(D300*C300/12+'Immobilien-Kalkulation'!$B$74/12,D300*(1+C300/12)),MIN('Immobilien-Kalkulation'!$B$67,D300*(1+C300/12))))</f>
        <v>1429.9603560928113</v>
      </c>
      <c r="F300" s="53">
        <f>IF(OR(A300&gt;'Immobilien-Kalkulation'!$B$70*12,D300&lt;=0),0,D300*C300/12)</f>
        <v>243.17087248189648</v>
      </c>
      <c r="G300" s="53">
        <f>IF(OR(A300&gt;'Immobilien-Kalkulation'!$B$70*12,D300&lt;=0),0,MAX(0,MIN(D300,E300-F300)))</f>
        <v>1186.7894836109149</v>
      </c>
      <c r="H300" s="95">
        <v>0</v>
      </c>
      <c r="I300" s="53">
        <f>IF(A300&gt;'Immobilien-Kalkulation'!$B$70*12,0,MAX(0,D300-G300-J300))</f>
        <v>82186.081081610726</v>
      </c>
      <c r="J300" s="53">
        <f>IF(OR(A300&gt;'Immobilien-Kalkulation'!$B$70*12,D300&lt;=0),0,MIN(H300,MAX(0,D300-G300)))</f>
        <v>0</v>
      </c>
    </row>
    <row r="301" spans="1:10" x14ac:dyDescent="0.25">
      <c r="A301">
        <v>298</v>
      </c>
      <c r="B301">
        <f t="shared" si="4"/>
        <v>25</v>
      </c>
      <c r="C301" s="28">
        <f>IF(A301&gt;'Immobilien-Kalkulation'!$B$70*12,0,IF(AND('Immobilien-Kalkulation'!$B$72=1,B301&gt;'Immobilien-Kalkulation'!$B$69),'Immobilien-Kalkulation'!$B$73,'Immobilien-Kalkulation'!$B$65))</f>
        <v>3.5000000000000003E-2</v>
      </c>
      <c r="D301" s="53">
        <f>IF(A301&gt;'Immobilien-Kalkulation'!$B$70*12,0,I300)</f>
        <v>82186.081081610726</v>
      </c>
      <c r="E301" s="53">
        <f>IF(OR(A301&gt;'Immobilien-Kalkulation'!$B$70*12,D301&lt;=0),0,IF(AND('Immobilien-Kalkulation'!$B$72=1,B301&gt;'Immobilien-Kalkulation'!$B$69),MIN(D301*C301/12+'Immobilien-Kalkulation'!$B$74/12,D301*(1+C301/12)),MIN('Immobilien-Kalkulation'!$B$67,D301*(1+C301/12))))</f>
        <v>1429.9603560928113</v>
      </c>
      <c r="F301" s="53">
        <f>IF(OR(A301&gt;'Immobilien-Kalkulation'!$B$70*12,D301&lt;=0),0,D301*C301/12)</f>
        <v>239.70940315469798</v>
      </c>
      <c r="G301" s="53">
        <f>IF(OR(A301&gt;'Immobilien-Kalkulation'!$B$70*12,D301&lt;=0),0,MAX(0,MIN(D301,E301-F301)))</f>
        <v>1190.2509529381132</v>
      </c>
      <c r="H301" s="95">
        <v>0</v>
      </c>
      <c r="I301" s="53">
        <f>IF(A301&gt;'Immobilien-Kalkulation'!$B$70*12,0,MAX(0,D301-G301-J301))</f>
        <v>80995.83012867262</v>
      </c>
      <c r="J301" s="53">
        <f>IF(OR(A301&gt;'Immobilien-Kalkulation'!$B$70*12,D301&lt;=0),0,MIN(H301,MAX(0,D301-G301)))</f>
        <v>0</v>
      </c>
    </row>
    <row r="302" spans="1:10" x14ac:dyDescent="0.25">
      <c r="A302">
        <v>299</v>
      </c>
      <c r="B302">
        <f t="shared" si="4"/>
        <v>25</v>
      </c>
      <c r="C302" s="28">
        <f>IF(A302&gt;'Immobilien-Kalkulation'!$B$70*12,0,IF(AND('Immobilien-Kalkulation'!$B$72=1,B302&gt;'Immobilien-Kalkulation'!$B$69),'Immobilien-Kalkulation'!$B$73,'Immobilien-Kalkulation'!$B$65))</f>
        <v>3.5000000000000003E-2</v>
      </c>
      <c r="D302" s="53">
        <f>IF(A302&gt;'Immobilien-Kalkulation'!$B$70*12,0,I301)</f>
        <v>80995.83012867262</v>
      </c>
      <c r="E302" s="53">
        <f>IF(OR(A302&gt;'Immobilien-Kalkulation'!$B$70*12,D302&lt;=0),0,IF(AND('Immobilien-Kalkulation'!$B$72=1,B302&gt;'Immobilien-Kalkulation'!$B$69),MIN(D302*C302/12+'Immobilien-Kalkulation'!$B$74/12,D302*(1+C302/12)),MIN('Immobilien-Kalkulation'!$B$67,D302*(1+C302/12))))</f>
        <v>1429.9603560928113</v>
      </c>
      <c r="F302" s="53">
        <f>IF(OR(A302&gt;'Immobilien-Kalkulation'!$B$70*12,D302&lt;=0),0,D302*C302/12)</f>
        <v>236.23783787529518</v>
      </c>
      <c r="G302" s="53">
        <f>IF(OR(A302&gt;'Immobilien-Kalkulation'!$B$70*12,D302&lt;=0),0,MAX(0,MIN(D302,E302-F302)))</f>
        <v>1193.7225182175162</v>
      </c>
      <c r="H302" s="95">
        <v>0</v>
      </c>
      <c r="I302" s="53">
        <f>IF(A302&gt;'Immobilien-Kalkulation'!$B$70*12,0,MAX(0,D302-G302-J302))</f>
        <v>79802.107610455103</v>
      </c>
      <c r="J302" s="53">
        <f>IF(OR(A302&gt;'Immobilien-Kalkulation'!$B$70*12,D302&lt;=0),0,MIN(H302,MAX(0,D302-G302)))</f>
        <v>0</v>
      </c>
    </row>
    <row r="303" spans="1:10" x14ac:dyDescent="0.25">
      <c r="A303">
        <v>300</v>
      </c>
      <c r="B303">
        <f t="shared" si="4"/>
        <v>25</v>
      </c>
      <c r="C303" s="28">
        <f>IF(A303&gt;'Immobilien-Kalkulation'!$B$70*12,0,IF(AND('Immobilien-Kalkulation'!$B$72=1,B303&gt;'Immobilien-Kalkulation'!$B$69),'Immobilien-Kalkulation'!$B$73,'Immobilien-Kalkulation'!$B$65))</f>
        <v>3.5000000000000003E-2</v>
      </c>
      <c r="D303" s="53">
        <f>IF(A303&gt;'Immobilien-Kalkulation'!$B$70*12,0,I302)</f>
        <v>79802.107610455103</v>
      </c>
      <c r="E303" s="53">
        <f>IF(OR(A303&gt;'Immobilien-Kalkulation'!$B$70*12,D303&lt;=0),0,IF(AND('Immobilien-Kalkulation'!$B$72=1,B303&gt;'Immobilien-Kalkulation'!$B$69),MIN(D303*C303/12+'Immobilien-Kalkulation'!$B$74/12,D303*(1+C303/12)),MIN('Immobilien-Kalkulation'!$B$67,D303*(1+C303/12))))</f>
        <v>1429.9603560928113</v>
      </c>
      <c r="F303" s="53">
        <f>IF(OR(A303&gt;'Immobilien-Kalkulation'!$B$70*12,D303&lt;=0),0,D303*C303/12)</f>
        <v>232.75614719716074</v>
      </c>
      <c r="G303" s="53">
        <f>IF(OR(A303&gt;'Immobilien-Kalkulation'!$B$70*12,D303&lt;=0),0,MAX(0,MIN(D303,E303-F303)))</f>
        <v>1197.2042088956505</v>
      </c>
      <c r="H303" s="95">
        <v>0</v>
      </c>
      <c r="I303" s="53">
        <f>IF(A303&gt;'Immobilien-Kalkulation'!$B$70*12,0,MAX(0,D303-G303-J303))</f>
        <v>78604.903401559452</v>
      </c>
      <c r="J303" s="53">
        <f>IF(OR(A303&gt;'Immobilien-Kalkulation'!$B$70*12,D303&lt;=0),0,MIN(H303,MAX(0,D303-G303)))</f>
        <v>0</v>
      </c>
    </row>
    <row r="304" spans="1:10" x14ac:dyDescent="0.25">
      <c r="A304">
        <v>301</v>
      </c>
      <c r="B304">
        <f t="shared" si="4"/>
        <v>26</v>
      </c>
      <c r="C304" s="28">
        <f>IF(A304&gt;'Immobilien-Kalkulation'!$B$70*12,0,IF(AND('Immobilien-Kalkulation'!$B$72=1,B304&gt;'Immobilien-Kalkulation'!$B$69),'Immobilien-Kalkulation'!$B$73,'Immobilien-Kalkulation'!$B$65))</f>
        <v>3.5000000000000003E-2</v>
      </c>
      <c r="D304" s="53">
        <f>IF(A304&gt;'Immobilien-Kalkulation'!$B$70*12,0,I303)</f>
        <v>78604.903401559452</v>
      </c>
      <c r="E304" s="53">
        <f>IF(OR(A304&gt;'Immobilien-Kalkulation'!$B$70*12,D304&lt;=0),0,IF(AND('Immobilien-Kalkulation'!$B$72=1,B304&gt;'Immobilien-Kalkulation'!$B$69),MIN(D304*C304/12+'Immobilien-Kalkulation'!$B$74/12,D304*(1+C304/12)),MIN('Immobilien-Kalkulation'!$B$67,D304*(1+C304/12))))</f>
        <v>1429.9603560928113</v>
      </c>
      <c r="F304" s="53">
        <f>IF(OR(A304&gt;'Immobilien-Kalkulation'!$B$70*12,D304&lt;=0),0,D304*C304/12)</f>
        <v>229.26430158788176</v>
      </c>
      <c r="G304" s="53">
        <f>IF(OR(A304&gt;'Immobilien-Kalkulation'!$B$70*12,D304&lt;=0),0,MAX(0,MIN(D304,E304-F304)))</f>
        <v>1200.6960545049294</v>
      </c>
      <c r="H304" s="95">
        <v>0</v>
      </c>
      <c r="I304" s="53">
        <f>IF(A304&gt;'Immobilien-Kalkulation'!$B$70*12,0,MAX(0,D304-G304-J304))</f>
        <v>77404.207347054529</v>
      </c>
      <c r="J304" s="53">
        <f>IF(OR(A304&gt;'Immobilien-Kalkulation'!$B$70*12,D304&lt;=0),0,MIN(H304,MAX(0,D304-G304)))</f>
        <v>0</v>
      </c>
    </row>
    <row r="305" spans="1:10" x14ac:dyDescent="0.25">
      <c r="A305">
        <v>302</v>
      </c>
      <c r="B305">
        <f t="shared" si="4"/>
        <v>26</v>
      </c>
      <c r="C305" s="28">
        <f>IF(A305&gt;'Immobilien-Kalkulation'!$B$70*12,0,IF(AND('Immobilien-Kalkulation'!$B$72=1,B305&gt;'Immobilien-Kalkulation'!$B$69),'Immobilien-Kalkulation'!$B$73,'Immobilien-Kalkulation'!$B$65))</f>
        <v>3.5000000000000003E-2</v>
      </c>
      <c r="D305" s="53">
        <f>IF(A305&gt;'Immobilien-Kalkulation'!$B$70*12,0,I304)</f>
        <v>77404.207347054529</v>
      </c>
      <c r="E305" s="53">
        <f>IF(OR(A305&gt;'Immobilien-Kalkulation'!$B$70*12,D305&lt;=0),0,IF(AND('Immobilien-Kalkulation'!$B$72=1,B305&gt;'Immobilien-Kalkulation'!$B$69),MIN(D305*C305/12+'Immobilien-Kalkulation'!$B$74/12,D305*(1+C305/12)),MIN('Immobilien-Kalkulation'!$B$67,D305*(1+C305/12))))</f>
        <v>1429.9603560928113</v>
      </c>
      <c r="F305" s="53">
        <f>IF(OR(A305&gt;'Immobilien-Kalkulation'!$B$70*12,D305&lt;=0),0,D305*C305/12)</f>
        <v>225.76227142890909</v>
      </c>
      <c r="G305" s="53">
        <f>IF(OR(A305&gt;'Immobilien-Kalkulation'!$B$70*12,D305&lt;=0),0,MAX(0,MIN(D305,E305-F305)))</f>
        <v>1204.1980846639021</v>
      </c>
      <c r="H305" s="95">
        <v>0</v>
      </c>
      <c r="I305" s="53">
        <f>IF(A305&gt;'Immobilien-Kalkulation'!$B$70*12,0,MAX(0,D305-G305-J305))</f>
        <v>76200.009262390624</v>
      </c>
      <c r="J305" s="53">
        <f>IF(OR(A305&gt;'Immobilien-Kalkulation'!$B$70*12,D305&lt;=0),0,MIN(H305,MAX(0,D305-G305)))</f>
        <v>0</v>
      </c>
    </row>
    <row r="306" spans="1:10" x14ac:dyDescent="0.25">
      <c r="A306">
        <v>303</v>
      </c>
      <c r="B306">
        <f t="shared" si="4"/>
        <v>26</v>
      </c>
      <c r="C306" s="28">
        <f>IF(A306&gt;'Immobilien-Kalkulation'!$B$70*12,0,IF(AND('Immobilien-Kalkulation'!$B$72=1,B306&gt;'Immobilien-Kalkulation'!$B$69),'Immobilien-Kalkulation'!$B$73,'Immobilien-Kalkulation'!$B$65))</f>
        <v>3.5000000000000003E-2</v>
      </c>
      <c r="D306" s="53">
        <f>IF(A306&gt;'Immobilien-Kalkulation'!$B$70*12,0,I305)</f>
        <v>76200.009262390624</v>
      </c>
      <c r="E306" s="53">
        <f>IF(OR(A306&gt;'Immobilien-Kalkulation'!$B$70*12,D306&lt;=0),0,IF(AND('Immobilien-Kalkulation'!$B$72=1,B306&gt;'Immobilien-Kalkulation'!$B$69),MIN(D306*C306/12+'Immobilien-Kalkulation'!$B$74/12,D306*(1+C306/12)),MIN('Immobilien-Kalkulation'!$B$67,D306*(1+C306/12))))</f>
        <v>1429.9603560928113</v>
      </c>
      <c r="F306" s="53">
        <f>IF(OR(A306&gt;'Immobilien-Kalkulation'!$B$70*12,D306&lt;=0),0,D306*C306/12)</f>
        <v>222.25002701530602</v>
      </c>
      <c r="G306" s="53">
        <f>IF(OR(A306&gt;'Immobilien-Kalkulation'!$B$70*12,D306&lt;=0),0,MAX(0,MIN(D306,E306-F306)))</f>
        <v>1207.7103290775053</v>
      </c>
      <c r="H306" s="95">
        <v>0</v>
      </c>
      <c r="I306" s="53">
        <f>IF(A306&gt;'Immobilien-Kalkulation'!$B$70*12,0,MAX(0,D306-G306-J306))</f>
        <v>74992.298933313112</v>
      </c>
      <c r="J306" s="53">
        <f>IF(OR(A306&gt;'Immobilien-Kalkulation'!$B$70*12,D306&lt;=0),0,MIN(H306,MAX(0,D306-G306)))</f>
        <v>0</v>
      </c>
    </row>
    <row r="307" spans="1:10" x14ac:dyDescent="0.25">
      <c r="A307">
        <v>304</v>
      </c>
      <c r="B307">
        <f t="shared" si="4"/>
        <v>26</v>
      </c>
      <c r="C307" s="28">
        <f>IF(A307&gt;'Immobilien-Kalkulation'!$B$70*12,0,IF(AND('Immobilien-Kalkulation'!$B$72=1,B307&gt;'Immobilien-Kalkulation'!$B$69),'Immobilien-Kalkulation'!$B$73,'Immobilien-Kalkulation'!$B$65))</f>
        <v>3.5000000000000003E-2</v>
      </c>
      <c r="D307" s="53">
        <f>IF(A307&gt;'Immobilien-Kalkulation'!$B$70*12,0,I306)</f>
        <v>74992.298933313112</v>
      </c>
      <c r="E307" s="53">
        <f>IF(OR(A307&gt;'Immobilien-Kalkulation'!$B$70*12,D307&lt;=0),0,IF(AND('Immobilien-Kalkulation'!$B$72=1,B307&gt;'Immobilien-Kalkulation'!$B$69),MIN(D307*C307/12+'Immobilien-Kalkulation'!$B$74/12,D307*(1+C307/12)),MIN('Immobilien-Kalkulation'!$B$67,D307*(1+C307/12))))</f>
        <v>1429.9603560928113</v>
      </c>
      <c r="F307" s="53">
        <f>IF(OR(A307&gt;'Immobilien-Kalkulation'!$B$70*12,D307&lt;=0),0,D307*C307/12)</f>
        <v>218.72753855549661</v>
      </c>
      <c r="G307" s="53">
        <f>IF(OR(A307&gt;'Immobilien-Kalkulation'!$B$70*12,D307&lt;=0),0,MAX(0,MIN(D307,E307-F307)))</f>
        <v>1211.2328175373145</v>
      </c>
      <c r="H307" s="95">
        <v>0</v>
      </c>
      <c r="I307" s="53">
        <f>IF(A307&gt;'Immobilien-Kalkulation'!$B$70*12,0,MAX(0,D307-G307-J307))</f>
        <v>73781.0661157758</v>
      </c>
      <c r="J307" s="53">
        <f>IF(OR(A307&gt;'Immobilien-Kalkulation'!$B$70*12,D307&lt;=0),0,MIN(H307,MAX(0,D307-G307)))</f>
        <v>0</v>
      </c>
    </row>
    <row r="308" spans="1:10" x14ac:dyDescent="0.25">
      <c r="A308">
        <v>305</v>
      </c>
      <c r="B308">
        <f t="shared" si="4"/>
        <v>26</v>
      </c>
      <c r="C308" s="28">
        <f>IF(A308&gt;'Immobilien-Kalkulation'!$B$70*12,0,IF(AND('Immobilien-Kalkulation'!$B$72=1,B308&gt;'Immobilien-Kalkulation'!$B$69),'Immobilien-Kalkulation'!$B$73,'Immobilien-Kalkulation'!$B$65))</f>
        <v>3.5000000000000003E-2</v>
      </c>
      <c r="D308" s="53">
        <f>IF(A308&gt;'Immobilien-Kalkulation'!$B$70*12,0,I307)</f>
        <v>73781.0661157758</v>
      </c>
      <c r="E308" s="53">
        <f>IF(OR(A308&gt;'Immobilien-Kalkulation'!$B$70*12,D308&lt;=0),0,IF(AND('Immobilien-Kalkulation'!$B$72=1,B308&gt;'Immobilien-Kalkulation'!$B$69),MIN(D308*C308/12+'Immobilien-Kalkulation'!$B$74/12,D308*(1+C308/12)),MIN('Immobilien-Kalkulation'!$B$67,D308*(1+C308/12))))</f>
        <v>1429.9603560928113</v>
      </c>
      <c r="F308" s="53">
        <f>IF(OR(A308&gt;'Immobilien-Kalkulation'!$B$70*12,D308&lt;=0),0,D308*C308/12)</f>
        <v>215.19477617101279</v>
      </c>
      <c r="G308" s="53">
        <f>IF(OR(A308&gt;'Immobilien-Kalkulation'!$B$70*12,D308&lt;=0),0,MAX(0,MIN(D308,E308-F308)))</f>
        <v>1214.7655799217985</v>
      </c>
      <c r="H308" s="95">
        <v>0</v>
      </c>
      <c r="I308" s="53">
        <f>IF(A308&gt;'Immobilien-Kalkulation'!$B$70*12,0,MAX(0,D308-G308-J308))</f>
        <v>72566.300535853996</v>
      </c>
      <c r="J308" s="53">
        <f>IF(OR(A308&gt;'Immobilien-Kalkulation'!$B$70*12,D308&lt;=0),0,MIN(H308,MAX(0,D308-G308)))</f>
        <v>0</v>
      </c>
    </row>
    <row r="309" spans="1:10" x14ac:dyDescent="0.25">
      <c r="A309">
        <v>306</v>
      </c>
      <c r="B309">
        <f t="shared" si="4"/>
        <v>26</v>
      </c>
      <c r="C309" s="28">
        <f>IF(A309&gt;'Immobilien-Kalkulation'!$B$70*12,0,IF(AND('Immobilien-Kalkulation'!$B$72=1,B309&gt;'Immobilien-Kalkulation'!$B$69),'Immobilien-Kalkulation'!$B$73,'Immobilien-Kalkulation'!$B$65))</f>
        <v>3.5000000000000003E-2</v>
      </c>
      <c r="D309" s="53">
        <f>IF(A309&gt;'Immobilien-Kalkulation'!$B$70*12,0,I308)</f>
        <v>72566.300535853996</v>
      </c>
      <c r="E309" s="53">
        <f>IF(OR(A309&gt;'Immobilien-Kalkulation'!$B$70*12,D309&lt;=0),0,IF(AND('Immobilien-Kalkulation'!$B$72=1,B309&gt;'Immobilien-Kalkulation'!$B$69),MIN(D309*C309/12+'Immobilien-Kalkulation'!$B$74/12,D309*(1+C309/12)),MIN('Immobilien-Kalkulation'!$B$67,D309*(1+C309/12))))</f>
        <v>1429.9603560928113</v>
      </c>
      <c r="F309" s="53">
        <f>IF(OR(A309&gt;'Immobilien-Kalkulation'!$B$70*12,D309&lt;=0),0,D309*C309/12)</f>
        <v>211.65170989624085</v>
      </c>
      <c r="G309" s="53">
        <f>IF(OR(A309&gt;'Immobilien-Kalkulation'!$B$70*12,D309&lt;=0),0,MAX(0,MIN(D309,E309-F309)))</f>
        <v>1218.3086461965704</v>
      </c>
      <c r="H309" s="95">
        <v>0</v>
      </c>
      <c r="I309" s="53">
        <f>IF(A309&gt;'Immobilien-Kalkulation'!$B$70*12,0,MAX(0,D309-G309-J309))</f>
        <v>71347.991889657424</v>
      </c>
      <c r="J309" s="53">
        <f>IF(OR(A309&gt;'Immobilien-Kalkulation'!$B$70*12,D309&lt;=0),0,MIN(H309,MAX(0,D309-G309)))</f>
        <v>0</v>
      </c>
    </row>
    <row r="310" spans="1:10" x14ac:dyDescent="0.25">
      <c r="A310">
        <v>307</v>
      </c>
      <c r="B310">
        <f t="shared" si="4"/>
        <v>26</v>
      </c>
      <c r="C310" s="28">
        <f>IF(A310&gt;'Immobilien-Kalkulation'!$B$70*12,0,IF(AND('Immobilien-Kalkulation'!$B$72=1,B310&gt;'Immobilien-Kalkulation'!$B$69),'Immobilien-Kalkulation'!$B$73,'Immobilien-Kalkulation'!$B$65))</f>
        <v>3.5000000000000003E-2</v>
      </c>
      <c r="D310" s="53">
        <f>IF(A310&gt;'Immobilien-Kalkulation'!$B$70*12,0,I309)</f>
        <v>71347.991889657424</v>
      </c>
      <c r="E310" s="53">
        <f>IF(OR(A310&gt;'Immobilien-Kalkulation'!$B$70*12,D310&lt;=0),0,IF(AND('Immobilien-Kalkulation'!$B$72=1,B310&gt;'Immobilien-Kalkulation'!$B$69),MIN(D310*C310/12+'Immobilien-Kalkulation'!$B$74/12,D310*(1+C310/12)),MIN('Immobilien-Kalkulation'!$B$67,D310*(1+C310/12))))</f>
        <v>1429.9603560928113</v>
      </c>
      <c r="F310" s="53">
        <f>IF(OR(A310&gt;'Immobilien-Kalkulation'!$B$70*12,D310&lt;=0),0,D310*C310/12)</f>
        <v>208.09830967816751</v>
      </c>
      <c r="G310" s="53">
        <f>IF(OR(A310&gt;'Immobilien-Kalkulation'!$B$70*12,D310&lt;=0),0,MAX(0,MIN(D310,E310-F310)))</f>
        <v>1221.8620464146438</v>
      </c>
      <c r="H310" s="95">
        <v>0</v>
      </c>
      <c r="I310" s="53">
        <f>IF(A310&gt;'Immobilien-Kalkulation'!$B$70*12,0,MAX(0,D310-G310-J310))</f>
        <v>70126.129843242787</v>
      </c>
      <c r="J310" s="53">
        <f>IF(OR(A310&gt;'Immobilien-Kalkulation'!$B$70*12,D310&lt;=0),0,MIN(H310,MAX(0,D310-G310)))</f>
        <v>0</v>
      </c>
    </row>
    <row r="311" spans="1:10" x14ac:dyDescent="0.25">
      <c r="A311">
        <v>308</v>
      </c>
      <c r="B311">
        <f t="shared" si="4"/>
        <v>26</v>
      </c>
      <c r="C311" s="28">
        <f>IF(A311&gt;'Immobilien-Kalkulation'!$B$70*12,0,IF(AND('Immobilien-Kalkulation'!$B$72=1,B311&gt;'Immobilien-Kalkulation'!$B$69),'Immobilien-Kalkulation'!$B$73,'Immobilien-Kalkulation'!$B$65))</f>
        <v>3.5000000000000003E-2</v>
      </c>
      <c r="D311" s="53">
        <f>IF(A311&gt;'Immobilien-Kalkulation'!$B$70*12,0,I310)</f>
        <v>70126.129843242787</v>
      </c>
      <c r="E311" s="53">
        <f>IF(OR(A311&gt;'Immobilien-Kalkulation'!$B$70*12,D311&lt;=0),0,IF(AND('Immobilien-Kalkulation'!$B$72=1,B311&gt;'Immobilien-Kalkulation'!$B$69),MIN(D311*C311/12+'Immobilien-Kalkulation'!$B$74/12,D311*(1+C311/12)),MIN('Immobilien-Kalkulation'!$B$67,D311*(1+C311/12))))</f>
        <v>1429.9603560928113</v>
      </c>
      <c r="F311" s="53">
        <f>IF(OR(A311&gt;'Immobilien-Kalkulation'!$B$70*12,D311&lt;=0),0,D311*C311/12)</f>
        <v>204.53454537612481</v>
      </c>
      <c r="G311" s="53">
        <f>IF(OR(A311&gt;'Immobilien-Kalkulation'!$B$70*12,D311&lt;=0),0,MAX(0,MIN(D311,E311-F311)))</f>
        <v>1225.4258107166866</v>
      </c>
      <c r="H311" s="95">
        <v>0</v>
      </c>
      <c r="I311" s="53">
        <f>IF(A311&gt;'Immobilien-Kalkulation'!$B$70*12,0,MAX(0,D311-G311-J311))</f>
        <v>68900.704032526104</v>
      </c>
      <c r="J311" s="53">
        <f>IF(OR(A311&gt;'Immobilien-Kalkulation'!$B$70*12,D311&lt;=0),0,MIN(H311,MAX(0,D311-G311)))</f>
        <v>0</v>
      </c>
    </row>
    <row r="312" spans="1:10" x14ac:dyDescent="0.25">
      <c r="A312">
        <v>309</v>
      </c>
      <c r="B312">
        <f t="shared" si="4"/>
        <v>26</v>
      </c>
      <c r="C312" s="28">
        <f>IF(A312&gt;'Immobilien-Kalkulation'!$B$70*12,0,IF(AND('Immobilien-Kalkulation'!$B$72=1,B312&gt;'Immobilien-Kalkulation'!$B$69),'Immobilien-Kalkulation'!$B$73,'Immobilien-Kalkulation'!$B$65))</f>
        <v>3.5000000000000003E-2</v>
      </c>
      <c r="D312" s="53">
        <f>IF(A312&gt;'Immobilien-Kalkulation'!$B$70*12,0,I311)</f>
        <v>68900.704032526104</v>
      </c>
      <c r="E312" s="53">
        <f>IF(OR(A312&gt;'Immobilien-Kalkulation'!$B$70*12,D312&lt;=0),0,IF(AND('Immobilien-Kalkulation'!$B$72=1,B312&gt;'Immobilien-Kalkulation'!$B$69),MIN(D312*C312/12+'Immobilien-Kalkulation'!$B$74/12,D312*(1+C312/12)),MIN('Immobilien-Kalkulation'!$B$67,D312*(1+C312/12))))</f>
        <v>1429.9603560928113</v>
      </c>
      <c r="F312" s="53">
        <f>IF(OR(A312&gt;'Immobilien-Kalkulation'!$B$70*12,D312&lt;=0),0,D312*C312/12)</f>
        <v>200.96038676153447</v>
      </c>
      <c r="G312" s="53">
        <f>IF(OR(A312&gt;'Immobilien-Kalkulation'!$B$70*12,D312&lt;=0),0,MAX(0,MIN(D312,E312-F312)))</f>
        <v>1228.9999693312768</v>
      </c>
      <c r="H312" s="95">
        <v>0</v>
      </c>
      <c r="I312" s="53">
        <f>IF(A312&gt;'Immobilien-Kalkulation'!$B$70*12,0,MAX(0,D312-G312-J312))</f>
        <v>67671.704063194833</v>
      </c>
      <c r="J312" s="53">
        <f>IF(OR(A312&gt;'Immobilien-Kalkulation'!$B$70*12,D312&lt;=0),0,MIN(H312,MAX(0,D312-G312)))</f>
        <v>0</v>
      </c>
    </row>
    <row r="313" spans="1:10" x14ac:dyDescent="0.25">
      <c r="A313">
        <v>310</v>
      </c>
      <c r="B313">
        <f t="shared" si="4"/>
        <v>26</v>
      </c>
      <c r="C313" s="28">
        <f>IF(A313&gt;'Immobilien-Kalkulation'!$B$70*12,0,IF(AND('Immobilien-Kalkulation'!$B$72=1,B313&gt;'Immobilien-Kalkulation'!$B$69),'Immobilien-Kalkulation'!$B$73,'Immobilien-Kalkulation'!$B$65))</f>
        <v>3.5000000000000003E-2</v>
      </c>
      <c r="D313" s="53">
        <f>IF(A313&gt;'Immobilien-Kalkulation'!$B$70*12,0,I312)</f>
        <v>67671.704063194833</v>
      </c>
      <c r="E313" s="53">
        <f>IF(OR(A313&gt;'Immobilien-Kalkulation'!$B$70*12,D313&lt;=0),0,IF(AND('Immobilien-Kalkulation'!$B$72=1,B313&gt;'Immobilien-Kalkulation'!$B$69),MIN(D313*C313/12+'Immobilien-Kalkulation'!$B$74/12,D313*(1+C313/12)),MIN('Immobilien-Kalkulation'!$B$67,D313*(1+C313/12))))</f>
        <v>1429.9603560928113</v>
      </c>
      <c r="F313" s="53">
        <f>IF(OR(A313&gt;'Immobilien-Kalkulation'!$B$70*12,D313&lt;=0),0,D313*C313/12)</f>
        <v>197.37580351765163</v>
      </c>
      <c r="G313" s="53">
        <f>IF(OR(A313&gt;'Immobilien-Kalkulation'!$B$70*12,D313&lt;=0),0,MAX(0,MIN(D313,E313-F313)))</f>
        <v>1232.5845525751597</v>
      </c>
      <c r="H313" s="95">
        <v>0</v>
      </c>
      <c r="I313" s="53">
        <f>IF(A313&gt;'Immobilien-Kalkulation'!$B$70*12,0,MAX(0,D313-G313-J313))</f>
        <v>66439.119510619668</v>
      </c>
      <c r="J313" s="53">
        <f>IF(OR(A313&gt;'Immobilien-Kalkulation'!$B$70*12,D313&lt;=0),0,MIN(H313,MAX(0,D313-G313)))</f>
        <v>0</v>
      </c>
    </row>
    <row r="314" spans="1:10" x14ac:dyDescent="0.25">
      <c r="A314">
        <v>311</v>
      </c>
      <c r="B314">
        <f t="shared" si="4"/>
        <v>26</v>
      </c>
      <c r="C314" s="28">
        <f>IF(A314&gt;'Immobilien-Kalkulation'!$B$70*12,0,IF(AND('Immobilien-Kalkulation'!$B$72=1,B314&gt;'Immobilien-Kalkulation'!$B$69),'Immobilien-Kalkulation'!$B$73,'Immobilien-Kalkulation'!$B$65))</f>
        <v>3.5000000000000003E-2</v>
      </c>
      <c r="D314" s="53">
        <f>IF(A314&gt;'Immobilien-Kalkulation'!$B$70*12,0,I313)</f>
        <v>66439.119510619668</v>
      </c>
      <c r="E314" s="53">
        <f>IF(OR(A314&gt;'Immobilien-Kalkulation'!$B$70*12,D314&lt;=0),0,IF(AND('Immobilien-Kalkulation'!$B$72=1,B314&gt;'Immobilien-Kalkulation'!$B$69),MIN(D314*C314/12+'Immobilien-Kalkulation'!$B$74/12,D314*(1+C314/12)),MIN('Immobilien-Kalkulation'!$B$67,D314*(1+C314/12))))</f>
        <v>1429.9603560928113</v>
      </c>
      <c r="F314" s="53">
        <f>IF(OR(A314&gt;'Immobilien-Kalkulation'!$B$70*12,D314&lt;=0),0,D314*C314/12)</f>
        <v>193.78076523930739</v>
      </c>
      <c r="G314" s="53">
        <f>IF(OR(A314&gt;'Immobilien-Kalkulation'!$B$70*12,D314&lt;=0),0,MAX(0,MIN(D314,E314-F314)))</f>
        <v>1236.1795908535039</v>
      </c>
      <c r="H314" s="95">
        <v>0</v>
      </c>
      <c r="I314" s="53">
        <f>IF(A314&gt;'Immobilien-Kalkulation'!$B$70*12,0,MAX(0,D314-G314-J314))</f>
        <v>65202.939919766162</v>
      </c>
      <c r="J314" s="53">
        <f>IF(OR(A314&gt;'Immobilien-Kalkulation'!$B$70*12,D314&lt;=0),0,MIN(H314,MAX(0,D314-G314)))</f>
        <v>0</v>
      </c>
    </row>
    <row r="315" spans="1:10" x14ac:dyDescent="0.25">
      <c r="A315">
        <v>312</v>
      </c>
      <c r="B315">
        <f t="shared" si="4"/>
        <v>26</v>
      </c>
      <c r="C315" s="28">
        <f>IF(A315&gt;'Immobilien-Kalkulation'!$B$70*12,0,IF(AND('Immobilien-Kalkulation'!$B$72=1,B315&gt;'Immobilien-Kalkulation'!$B$69),'Immobilien-Kalkulation'!$B$73,'Immobilien-Kalkulation'!$B$65))</f>
        <v>3.5000000000000003E-2</v>
      </c>
      <c r="D315" s="53">
        <f>IF(A315&gt;'Immobilien-Kalkulation'!$B$70*12,0,I314)</f>
        <v>65202.939919766162</v>
      </c>
      <c r="E315" s="53">
        <f>IF(OR(A315&gt;'Immobilien-Kalkulation'!$B$70*12,D315&lt;=0),0,IF(AND('Immobilien-Kalkulation'!$B$72=1,B315&gt;'Immobilien-Kalkulation'!$B$69),MIN(D315*C315/12+'Immobilien-Kalkulation'!$B$74/12,D315*(1+C315/12)),MIN('Immobilien-Kalkulation'!$B$67,D315*(1+C315/12))))</f>
        <v>1429.9603560928113</v>
      </c>
      <c r="F315" s="53">
        <f>IF(OR(A315&gt;'Immobilien-Kalkulation'!$B$70*12,D315&lt;=0),0,D315*C315/12)</f>
        <v>190.17524143265132</v>
      </c>
      <c r="G315" s="53">
        <f>IF(OR(A315&gt;'Immobilien-Kalkulation'!$B$70*12,D315&lt;=0),0,MAX(0,MIN(D315,E315-F315)))</f>
        <v>1239.7851146601599</v>
      </c>
      <c r="H315" s="95">
        <v>0</v>
      </c>
      <c r="I315" s="53">
        <f>IF(A315&gt;'Immobilien-Kalkulation'!$B$70*12,0,MAX(0,D315-G315-J315))</f>
        <v>63963.154805106002</v>
      </c>
      <c r="J315" s="53">
        <f>IF(OR(A315&gt;'Immobilien-Kalkulation'!$B$70*12,D315&lt;=0),0,MIN(H315,MAX(0,D315-G315)))</f>
        <v>0</v>
      </c>
    </row>
    <row r="316" spans="1:10" x14ac:dyDescent="0.25">
      <c r="A316">
        <v>313</v>
      </c>
      <c r="B316">
        <f t="shared" si="4"/>
        <v>27</v>
      </c>
      <c r="C316" s="28">
        <f>IF(A316&gt;'Immobilien-Kalkulation'!$B$70*12,0,IF(AND('Immobilien-Kalkulation'!$B$72=1,B316&gt;'Immobilien-Kalkulation'!$B$69),'Immobilien-Kalkulation'!$B$73,'Immobilien-Kalkulation'!$B$65))</f>
        <v>3.5000000000000003E-2</v>
      </c>
      <c r="D316" s="53">
        <f>IF(A316&gt;'Immobilien-Kalkulation'!$B$70*12,0,I315)</f>
        <v>63963.154805106002</v>
      </c>
      <c r="E316" s="53">
        <f>IF(OR(A316&gt;'Immobilien-Kalkulation'!$B$70*12,D316&lt;=0),0,IF(AND('Immobilien-Kalkulation'!$B$72=1,B316&gt;'Immobilien-Kalkulation'!$B$69),MIN(D316*C316/12+'Immobilien-Kalkulation'!$B$74/12,D316*(1+C316/12)),MIN('Immobilien-Kalkulation'!$B$67,D316*(1+C316/12))))</f>
        <v>1429.9603560928113</v>
      </c>
      <c r="F316" s="53">
        <f>IF(OR(A316&gt;'Immobilien-Kalkulation'!$B$70*12,D316&lt;=0),0,D316*C316/12)</f>
        <v>186.55920151489252</v>
      </c>
      <c r="G316" s="53">
        <f>IF(OR(A316&gt;'Immobilien-Kalkulation'!$B$70*12,D316&lt;=0),0,MAX(0,MIN(D316,E316-F316)))</f>
        <v>1243.4011545779188</v>
      </c>
      <c r="H316" s="95">
        <v>0</v>
      </c>
      <c r="I316" s="53">
        <f>IF(A316&gt;'Immobilien-Kalkulation'!$B$70*12,0,MAX(0,D316-G316-J316))</f>
        <v>62719.75365052808</v>
      </c>
      <c r="J316" s="53">
        <f>IF(OR(A316&gt;'Immobilien-Kalkulation'!$B$70*12,D316&lt;=0),0,MIN(H316,MAX(0,D316-G316)))</f>
        <v>0</v>
      </c>
    </row>
    <row r="317" spans="1:10" x14ac:dyDescent="0.25">
      <c r="A317">
        <v>314</v>
      </c>
      <c r="B317">
        <f t="shared" si="4"/>
        <v>27</v>
      </c>
      <c r="C317" s="28">
        <f>IF(A317&gt;'Immobilien-Kalkulation'!$B$70*12,0,IF(AND('Immobilien-Kalkulation'!$B$72=1,B317&gt;'Immobilien-Kalkulation'!$B$69),'Immobilien-Kalkulation'!$B$73,'Immobilien-Kalkulation'!$B$65))</f>
        <v>3.5000000000000003E-2</v>
      </c>
      <c r="D317" s="53">
        <f>IF(A317&gt;'Immobilien-Kalkulation'!$B$70*12,0,I316)</f>
        <v>62719.75365052808</v>
      </c>
      <c r="E317" s="53">
        <f>IF(OR(A317&gt;'Immobilien-Kalkulation'!$B$70*12,D317&lt;=0),0,IF(AND('Immobilien-Kalkulation'!$B$72=1,B317&gt;'Immobilien-Kalkulation'!$B$69),MIN(D317*C317/12+'Immobilien-Kalkulation'!$B$74/12,D317*(1+C317/12)),MIN('Immobilien-Kalkulation'!$B$67,D317*(1+C317/12))))</f>
        <v>1429.9603560928113</v>
      </c>
      <c r="F317" s="53">
        <f>IF(OR(A317&gt;'Immobilien-Kalkulation'!$B$70*12,D317&lt;=0),0,D317*C317/12)</f>
        <v>182.93261481404025</v>
      </c>
      <c r="G317" s="53">
        <f>IF(OR(A317&gt;'Immobilien-Kalkulation'!$B$70*12,D317&lt;=0),0,MAX(0,MIN(D317,E317-F317)))</f>
        <v>1247.0277412787709</v>
      </c>
      <c r="H317" s="95">
        <v>0</v>
      </c>
      <c r="I317" s="53">
        <f>IF(A317&gt;'Immobilien-Kalkulation'!$B$70*12,0,MAX(0,D317-G317-J317))</f>
        <v>61472.725909249311</v>
      </c>
      <c r="J317" s="53">
        <f>IF(OR(A317&gt;'Immobilien-Kalkulation'!$B$70*12,D317&lt;=0),0,MIN(H317,MAX(0,D317-G317)))</f>
        <v>0</v>
      </c>
    </row>
    <row r="318" spans="1:10" x14ac:dyDescent="0.25">
      <c r="A318">
        <v>315</v>
      </c>
      <c r="B318">
        <f t="shared" si="4"/>
        <v>27</v>
      </c>
      <c r="C318" s="28">
        <f>IF(A318&gt;'Immobilien-Kalkulation'!$B$70*12,0,IF(AND('Immobilien-Kalkulation'!$B$72=1,B318&gt;'Immobilien-Kalkulation'!$B$69),'Immobilien-Kalkulation'!$B$73,'Immobilien-Kalkulation'!$B$65))</f>
        <v>3.5000000000000003E-2</v>
      </c>
      <c r="D318" s="53">
        <f>IF(A318&gt;'Immobilien-Kalkulation'!$B$70*12,0,I317)</f>
        <v>61472.725909249311</v>
      </c>
      <c r="E318" s="53">
        <f>IF(OR(A318&gt;'Immobilien-Kalkulation'!$B$70*12,D318&lt;=0),0,IF(AND('Immobilien-Kalkulation'!$B$72=1,B318&gt;'Immobilien-Kalkulation'!$B$69),MIN(D318*C318/12+'Immobilien-Kalkulation'!$B$74/12,D318*(1+C318/12)),MIN('Immobilien-Kalkulation'!$B$67,D318*(1+C318/12))))</f>
        <v>1429.9603560928113</v>
      </c>
      <c r="F318" s="53">
        <f>IF(OR(A318&gt;'Immobilien-Kalkulation'!$B$70*12,D318&lt;=0),0,D318*C318/12)</f>
        <v>179.29545056864382</v>
      </c>
      <c r="G318" s="53">
        <f>IF(OR(A318&gt;'Immobilien-Kalkulation'!$B$70*12,D318&lt;=0),0,MAX(0,MIN(D318,E318-F318)))</f>
        <v>1250.6649055241674</v>
      </c>
      <c r="H318" s="95">
        <v>0</v>
      </c>
      <c r="I318" s="53">
        <f>IF(A318&gt;'Immobilien-Kalkulation'!$B$70*12,0,MAX(0,D318-G318-J318))</f>
        <v>60222.061003725146</v>
      </c>
      <c r="J318" s="53">
        <f>IF(OR(A318&gt;'Immobilien-Kalkulation'!$B$70*12,D318&lt;=0),0,MIN(H318,MAX(0,D318-G318)))</f>
        <v>0</v>
      </c>
    </row>
    <row r="319" spans="1:10" x14ac:dyDescent="0.25">
      <c r="A319">
        <v>316</v>
      </c>
      <c r="B319">
        <f t="shared" si="4"/>
        <v>27</v>
      </c>
      <c r="C319" s="28">
        <f>IF(A319&gt;'Immobilien-Kalkulation'!$B$70*12,0,IF(AND('Immobilien-Kalkulation'!$B$72=1,B319&gt;'Immobilien-Kalkulation'!$B$69),'Immobilien-Kalkulation'!$B$73,'Immobilien-Kalkulation'!$B$65))</f>
        <v>3.5000000000000003E-2</v>
      </c>
      <c r="D319" s="53">
        <f>IF(A319&gt;'Immobilien-Kalkulation'!$B$70*12,0,I318)</f>
        <v>60222.061003725146</v>
      </c>
      <c r="E319" s="53">
        <f>IF(OR(A319&gt;'Immobilien-Kalkulation'!$B$70*12,D319&lt;=0),0,IF(AND('Immobilien-Kalkulation'!$B$72=1,B319&gt;'Immobilien-Kalkulation'!$B$69),MIN(D319*C319/12+'Immobilien-Kalkulation'!$B$74/12,D319*(1+C319/12)),MIN('Immobilien-Kalkulation'!$B$67,D319*(1+C319/12))))</f>
        <v>1429.9603560928113</v>
      </c>
      <c r="F319" s="53">
        <f>IF(OR(A319&gt;'Immobilien-Kalkulation'!$B$70*12,D319&lt;=0),0,D319*C319/12)</f>
        <v>175.6476779275317</v>
      </c>
      <c r="G319" s="53">
        <f>IF(OR(A319&gt;'Immobilien-Kalkulation'!$B$70*12,D319&lt;=0),0,MAX(0,MIN(D319,E319-F319)))</f>
        <v>1254.3126781652795</v>
      </c>
      <c r="H319" s="95">
        <v>0</v>
      </c>
      <c r="I319" s="53">
        <f>IF(A319&gt;'Immobilien-Kalkulation'!$B$70*12,0,MAX(0,D319-G319-J319))</f>
        <v>58967.748325559864</v>
      </c>
      <c r="J319" s="53">
        <f>IF(OR(A319&gt;'Immobilien-Kalkulation'!$B$70*12,D319&lt;=0),0,MIN(H319,MAX(0,D319-G319)))</f>
        <v>0</v>
      </c>
    </row>
    <row r="320" spans="1:10" x14ac:dyDescent="0.25">
      <c r="A320">
        <v>317</v>
      </c>
      <c r="B320">
        <f t="shared" si="4"/>
        <v>27</v>
      </c>
      <c r="C320" s="28">
        <f>IF(A320&gt;'Immobilien-Kalkulation'!$B$70*12,0,IF(AND('Immobilien-Kalkulation'!$B$72=1,B320&gt;'Immobilien-Kalkulation'!$B$69),'Immobilien-Kalkulation'!$B$73,'Immobilien-Kalkulation'!$B$65))</f>
        <v>3.5000000000000003E-2</v>
      </c>
      <c r="D320" s="53">
        <f>IF(A320&gt;'Immobilien-Kalkulation'!$B$70*12,0,I319)</f>
        <v>58967.748325559864</v>
      </c>
      <c r="E320" s="53">
        <f>IF(OR(A320&gt;'Immobilien-Kalkulation'!$B$70*12,D320&lt;=0),0,IF(AND('Immobilien-Kalkulation'!$B$72=1,B320&gt;'Immobilien-Kalkulation'!$B$69),MIN(D320*C320/12+'Immobilien-Kalkulation'!$B$74/12,D320*(1+C320/12)),MIN('Immobilien-Kalkulation'!$B$67,D320*(1+C320/12))))</f>
        <v>1429.9603560928113</v>
      </c>
      <c r="F320" s="53">
        <f>IF(OR(A320&gt;'Immobilien-Kalkulation'!$B$70*12,D320&lt;=0),0,D320*C320/12)</f>
        <v>171.9892659495496</v>
      </c>
      <c r="G320" s="53">
        <f>IF(OR(A320&gt;'Immobilien-Kalkulation'!$B$70*12,D320&lt;=0),0,MAX(0,MIN(D320,E320-F320)))</f>
        <v>1257.9710901432616</v>
      </c>
      <c r="H320" s="95">
        <v>0</v>
      </c>
      <c r="I320" s="53">
        <f>IF(A320&gt;'Immobilien-Kalkulation'!$B$70*12,0,MAX(0,D320-G320-J320))</f>
        <v>57709.777235416601</v>
      </c>
      <c r="J320" s="53">
        <f>IF(OR(A320&gt;'Immobilien-Kalkulation'!$B$70*12,D320&lt;=0),0,MIN(H320,MAX(0,D320-G320)))</f>
        <v>0</v>
      </c>
    </row>
    <row r="321" spans="1:10" x14ac:dyDescent="0.25">
      <c r="A321">
        <v>318</v>
      </c>
      <c r="B321">
        <f t="shared" si="4"/>
        <v>27</v>
      </c>
      <c r="C321" s="28">
        <f>IF(A321&gt;'Immobilien-Kalkulation'!$B$70*12,0,IF(AND('Immobilien-Kalkulation'!$B$72=1,B321&gt;'Immobilien-Kalkulation'!$B$69),'Immobilien-Kalkulation'!$B$73,'Immobilien-Kalkulation'!$B$65))</f>
        <v>3.5000000000000003E-2</v>
      </c>
      <c r="D321" s="53">
        <f>IF(A321&gt;'Immobilien-Kalkulation'!$B$70*12,0,I320)</f>
        <v>57709.777235416601</v>
      </c>
      <c r="E321" s="53">
        <f>IF(OR(A321&gt;'Immobilien-Kalkulation'!$B$70*12,D321&lt;=0),0,IF(AND('Immobilien-Kalkulation'!$B$72=1,B321&gt;'Immobilien-Kalkulation'!$B$69),MIN(D321*C321/12+'Immobilien-Kalkulation'!$B$74/12,D321*(1+C321/12)),MIN('Immobilien-Kalkulation'!$B$67,D321*(1+C321/12))))</f>
        <v>1429.9603560928113</v>
      </c>
      <c r="F321" s="53">
        <f>IF(OR(A321&gt;'Immobilien-Kalkulation'!$B$70*12,D321&lt;=0),0,D321*C321/12)</f>
        <v>168.32018360329843</v>
      </c>
      <c r="G321" s="53">
        <f>IF(OR(A321&gt;'Immobilien-Kalkulation'!$B$70*12,D321&lt;=0),0,MAX(0,MIN(D321,E321-F321)))</f>
        <v>1261.6401724895129</v>
      </c>
      <c r="H321" s="95">
        <v>0</v>
      </c>
      <c r="I321" s="53">
        <f>IF(A321&gt;'Immobilien-Kalkulation'!$B$70*12,0,MAX(0,D321-G321-J321))</f>
        <v>56448.13706292709</v>
      </c>
      <c r="J321" s="53">
        <f>IF(OR(A321&gt;'Immobilien-Kalkulation'!$B$70*12,D321&lt;=0),0,MIN(H321,MAX(0,D321-G321)))</f>
        <v>0</v>
      </c>
    </row>
    <row r="322" spans="1:10" x14ac:dyDescent="0.25">
      <c r="A322">
        <v>319</v>
      </c>
      <c r="B322">
        <f t="shared" si="4"/>
        <v>27</v>
      </c>
      <c r="C322" s="28">
        <f>IF(A322&gt;'Immobilien-Kalkulation'!$B$70*12,0,IF(AND('Immobilien-Kalkulation'!$B$72=1,B322&gt;'Immobilien-Kalkulation'!$B$69),'Immobilien-Kalkulation'!$B$73,'Immobilien-Kalkulation'!$B$65))</f>
        <v>3.5000000000000003E-2</v>
      </c>
      <c r="D322" s="53">
        <f>IF(A322&gt;'Immobilien-Kalkulation'!$B$70*12,0,I321)</f>
        <v>56448.13706292709</v>
      </c>
      <c r="E322" s="53">
        <f>IF(OR(A322&gt;'Immobilien-Kalkulation'!$B$70*12,D322&lt;=0),0,IF(AND('Immobilien-Kalkulation'!$B$72=1,B322&gt;'Immobilien-Kalkulation'!$B$69),MIN(D322*C322/12+'Immobilien-Kalkulation'!$B$74/12,D322*(1+C322/12)),MIN('Immobilien-Kalkulation'!$B$67,D322*(1+C322/12))))</f>
        <v>1429.9603560928113</v>
      </c>
      <c r="F322" s="53">
        <f>IF(OR(A322&gt;'Immobilien-Kalkulation'!$B$70*12,D322&lt;=0),0,D322*C322/12)</f>
        <v>164.6403997668707</v>
      </c>
      <c r="G322" s="53">
        <f>IF(OR(A322&gt;'Immobilien-Kalkulation'!$B$70*12,D322&lt;=0),0,MAX(0,MIN(D322,E322-F322)))</f>
        <v>1265.3199563259404</v>
      </c>
      <c r="H322" s="95">
        <v>0</v>
      </c>
      <c r="I322" s="53">
        <f>IF(A322&gt;'Immobilien-Kalkulation'!$B$70*12,0,MAX(0,D322-G322-J322))</f>
        <v>55182.817106601149</v>
      </c>
      <c r="J322" s="53">
        <f>IF(OR(A322&gt;'Immobilien-Kalkulation'!$B$70*12,D322&lt;=0),0,MIN(H322,MAX(0,D322-G322)))</f>
        <v>0</v>
      </c>
    </row>
    <row r="323" spans="1:10" x14ac:dyDescent="0.25">
      <c r="A323">
        <v>320</v>
      </c>
      <c r="B323">
        <f t="shared" si="4"/>
        <v>27</v>
      </c>
      <c r="C323" s="28">
        <f>IF(A323&gt;'Immobilien-Kalkulation'!$B$70*12,0,IF(AND('Immobilien-Kalkulation'!$B$72=1,B323&gt;'Immobilien-Kalkulation'!$B$69),'Immobilien-Kalkulation'!$B$73,'Immobilien-Kalkulation'!$B$65))</f>
        <v>3.5000000000000003E-2</v>
      </c>
      <c r="D323" s="53">
        <f>IF(A323&gt;'Immobilien-Kalkulation'!$B$70*12,0,I322)</f>
        <v>55182.817106601149</v>
      </c>
      <c r="E323" s="53">
        <f>IF(OR(A323&gt;'Immobilien-Kalkulation'!$B$70*12,D323&lt;=0),0,IF(AND('Immobilien-Kalkulation'!$B$72=1,B323&gt;'Immobilien-Kalkulation'!$B$69),MIN(D323*C323/12+'Immobilien-Kalkulation'!$B$74/12,D323*(1+C323/12)),MIN('Immobilien-Kalkulation'!$B$67,D323*(1+C323/12))))</f>
        <v>1429.9603560928113</v>
      </c>
      <c r="F323" s="53">
        <f>IF(OR(A323&gt;'Immobilien-Kalkulation'!$B$70*12,D323&lt;=0),0,D323*C323/12)</f>
        <v>160.9498832275867</v>
      </c>
      <c r="G323" s="53">
        <f>IF(OR(A323&gt;'Immobilien-Kalkulation'!$B$70*12,D323&lt;=0),0,MAX(0,MIN(D323,E323-F323)))</f>
        <v>1269.0104728652245</v>
      </c>
      <c r="H323" s="95">
        <v>0</v>
      </c>
      <c r="I323" s="53">
        <f>IF(A323&gt;'Immobilien-Kalkulation'!$B$70*12,0,MAX(0,D323-G323-J323))</f>
        <v>53913.806633735927</v>
      </c>
      <c r="J323" s="53">
        <f>IF(OR(A323&gt;'Immobilien-Kalkulation'!$B$70*12,D323&lt;=0),0,MIN(H323,MAX(0,D323-G323)))</f>
        <v>0</v>
      </c>
    </row>
    <row r="324" spans="1:10" x14ac:dyDescent="0.25">
      <c r="A324">
        <v>321</v>
      </c>
      <c r="B324">
        <f t="shared" ref="B324:B387" si="5">INT((A324-1)/12)+1</f>
        <v>27</v>
      </c>
      <c r="C324" s="28">
        <f>IF(A324&gt;'Immobilien-Kalkulation'!$B$70*12,0,IF(AND('Immobilien-Kalkulation'!$B$72=1,B324&gt;'Immobilien-Kalkulation'!$B$69),'Immobilien-Kalkulation'!$B$73,'Immobilien-Kalkulation'!$B$65))</f>
        <v>3.5000000000000003E-2</v>
      </c>
      <c r="D324" s="53">
        <f>IF(A324&gt;'Immobilien-Kalkulation'!$B$70*12,0,I323)</f>
        <v>53913.806633735927</v>
      </c>
      <c r="E324" s="53">
        <f>IF(OR(A324&gt;'Immobilien-Kalkulation'!$B$70*12,D324&lt;=0),0,IF(AND('Immobilien-Kalkulation'!$B$72=1,B324&gt;'Immobilien-Kalkulation'!$B$69),MIN(D324*C324/12+'Immobilien-Kalkulation'!$B$74/12,D324*(1+C324/12)),MIN('Immobilien-Kalkulation'!$B$67,D324*(1+C324/12))))</f>
        <v>1429.9603560928113</v>
      </c>
      <c r="F324" s="53">
        <f>IF(OR(A324&gt;'Immobilien-Kalkulation'!$B$70*12,D324&lt;=0),0,D324*C324/12)</f>
        <v>157.24860268172981</v>
      </c>
      <c r="G324" s="53">
        <f>IF(OR(A324&gt;'Immobilien-Kalkulation'!$B$70*12,D324&lt;=0),0,MAX(0,MIN(D324,E324-F324)))</f>
        <v>1272.7117534110814</v>
      </c>
      <c r="H324" s="95">
        <v>0</v>
      </c>
      <c r="I324" s="53">
        <f>IF(A324&gt;'Immobilien-Kalkulation'!$B$70*12,0,MAX(0,D324-G324-J324))</f>
        <v>52641.094880324847</v>
      </c>
      <c r="J324" s="53">
        <f>IF(OR(A324&gt;'Immobilien-Kalkulation'!$B$70*12,D324&lt;=0),0,MIN(H324,MAX(0,D324-G324)))</f>
        <v>0</v>
      </c>
    </row>
    <row r="325" spans="1:10" x14ac:dyDescent="0.25">
      <c r="A325">
        <v>322</v>
      </c>
      <c r="B325">
        <f t="shared" si="5"/>
        <v>27</v>
      </c>
      <c r="C325" s="28">
        <f>IF(A325&gt;'Immobilien-Kalkulation'!$B$70*12,0,IF(AND('Immobilien-Kalkulation'!$B$72=1,B325&gt;'Immobilien-Kalkulation'!$B$69),'Immobilien-Kalkulation'!$B$73,'Immobilien-Kalkulation'!$B$65))</f>
        <v>3.5000000000000003E-2</v>
      </c>
      <c r="D325" s="53">
        <f>IF(A325&gt;'Immobilien-Kalkulation'!$B$70*12,0,I324)</f>
        <v>52641.094880324847</v>
      </c>
      <c r="E325" s="53">
        <f>IF(OR(A325&gt;'Immobilien-Kalkulation'!$B$70*12,D325&lt;=0),0,IF(AND('Immobilien-Kalkulation'!$B$72=1,B325&gt;'Immobilien-Kalkulation'!$B$69),MIN(D325*C325/12+'Immobilien-Kalkulation'!$B$74/12,D325*(1+C325/12)),MIN('Immobilien-Kalkulation'!$B$67,D325*(1+C325/12))))</f>
        <v>1429.9603560928113</v>
      </c>
      <c r="F325" s="53">
        <f>IF(OR(A325&gt;'Immobilien-Kalkulation'!$B$70*12,D325&lt;=0),0,D325*C325/12)</f>
        <v>153.53652673428081</v>
      </c>
      <c r="G325" s="53">
        <f>IF(OR(A325&gt;'Immobilien-Kalkulation'!$B$70*12,D325&lt;=0),0,MAX(0,MIN(D325,E325-F325)))</f>
        <v>1276.4238293585304</v>
      </c>
      <c r="H325" s="95">
        <v>0</v>
      </c>
      <c r="I325" s="53">
        <f>IF(A325&gt;'Immobilien-Kalkulation'!$B$70*12,0,MAX(0,D325-G325-J325))</f>
        <v>51364.671050966317</v>
      </c>
      <c r="J325" s="53">
        <f>IF(OR(A325&gt;'Immobilien-Kalkulation'!$B$70*12,D325&lt;=0),0,MIN(H325,MAX(0,D325-G325)))</f>
        <v>0</v>
      </c>
    </row>
    <row r="326" spans="1:10" x14ac:dyDescent="0.25">
      <c r="A326">
        <v>323</v>
      </c>
      <c r="B326">
        <f t="shared" si="5"/>
        <v>27</v>
      </c>
      <c r="C326" s="28">
        <f>IF(A326&gt;'Immobilien-Kalkulation'!$B$70*12,0,IF(AND('Immobilien-Kalkulation'!$B$72=1,B326&gt;'Immobilien-Kalkulation'!$B$69),'Immobilien-Kalkulation'!$B$73,'Immobilien-Kalkulation'!$B$65))</f>
        <v>3.5000000000000003E-2</v>
      </c>
      <c r="D326" s="53">
        <f>IF(A326&gt;'Immobilien-Kalkulation'!$B$70*12,0,I325)</f>
        <v>51364.671050966317</v>
      </c>
      <c r="E326" s="53">
        <f>IF(OR(A326&gt;'Immobilien-Kalkulation'!$B$70*12,D326&lt;=0),0,IF(AND('Immobilien-Kalkulation'!$B$72=1,B326&gt;'Immobilien-Kalkulation'!$B$69),MIN(D326*C326/12+'Immobilien-Kalkulation'!$B$74/12,D326*(1+C326/12)),MIN('Immobilien-Kalkulation'!$B$67,D326*(1+C326/12))))</f>
        <v>1429.9603560928113</v>
      </c>
      <c r="F326" s="53">
        <f>IF(OR(A326&gt;'Immobilien-Kalkulation'!$B$70*12,D326&lt;=0),0,D326*C326/12)</f>
        <v>149.81362389865177</v>
      </c>
      <c r="G326" s="53">
        <f>IF(OR(A326&gt;'Immobilien-Kalkulation'!$B$70*12,D326&lt;=0),0,MAX(0,MIN(D326,E326-F326)))</f>
        <v>1280.1467321941595</v>
      </c>
      <c r="H326" s="95">
        <v>0</v>
      </c>
      <c r="I326" s="53">
        <f>IF(A326&gt;'Immobilien-Kalkulation'!$B$70*12,0,MAX(0,D326-G326-J326))</f>
        <v>50084.524318772157</v>
      </c>
      <c r="J326" s="53">
        <f>IF(OR(A326&gt;'Immobilien-Kalkulation'!$B$70*12,D326&lt;=0),0,MIN(H326,MAX(0,D326-G326)))</f>
        <v>0</v>
      </c>
    </row>
    <row r="327" spans="1:10" x14ac:dyDescent="0.25">
      <c r="A327">
        <v>324</v>
      </c>
      <c r="B327">
        <f t="shared" si="5"/>
        <v>27</v>
      </c>
      <c r="C327" s="28">
        <f>IF(A327&gt;'Immobilien-Kalkulation'!$B$70*12,0,IF(AND('Immobilien-Kalkulation'!$B$72=1,B327&gt;'Immobilien-Kalkulation'!$B$69),'Immobilien-Kalkulation'!$B$73,'Immobilien-Kalkulation'!$B$65))</f>
        <v>3.5000000000000003E-2</v>
      </c>
      <c r="D327" s="53">
        <f>IF(A327&gt;'Immobilien-Kalkulation'!$B$70*12,0,I326)</f>
        <v>50084.524318772157</v>
      </c>
      <c r="E327" s="53">
        <f>IF(OR(A327&gt;'Immobilien-Kalkulation'!$B$70*12,D327&lt;=0),0,IF(AND('Immobilien-Kalkulation'!$B$72=1,B327&gt;'Immobilien-Kalkulation'!$B$69),MIN(D327*C327/12+'Immobilien-Kalkulation'!$B$74/12,D327*(1+C327/12)),MIN('Immobilien-Kalkulation'!$B$67,D327*(1+C327/12))))</f>
        <v>1429.9603560928113</v>
      </c>
      <c r="F327" s="53">
        <f>IF(OR(A327&gt;'Immobilien-Kalkulation'!$B$70*12,D327&lt;=0),0,D327*C327/12)</f>
        <v>146.07986259641879</v>
      </c>
      <c r="G327" s="53">
        <f>IF(OR(A327&gt;'Immobilien-Kalkulation'!$B$70*12,D327&lt;=0),0,MAX(0,MIN(D327,E327-F327)))</f>
        <v>1283.8804934963925</v>
      </c>
      <c r="H327" s="95">
        <v>0</v>
      </c>
      <c r="I327" s="53">
        <f>IF(A327&gt;'Immobilien-Kalkulation'!$B$70*12,0,MAX(0,D327-G327-J327))</f>
        <v>48800.643825275765</v>
      </c>
      <c r="J327" s="53">
        <f>IF(OR(A327&gt;'Immobilien-Kalkulation'!$B$70*12,D327&lt;=0),0,MIN(H327,MAX(0,D327-G327)))</f>
        <v>0</v>
      </c>
    </row>
    <row r="328" spans="1:10" x14ac:dyDescent="0.25">
      <c r="A328">
        <v>325</v>
      </c>
      <c r="B328">
        <f t="shared" si="5"/>
        <v>28</v>
      </c>
      <c r="C328" s="28">
        <f>IF(A328&gt;'Immobilien-Kalkulation'!$B$70*12,0,IF(AND('Immobilien-Kalkulation'!$B$72=1,B328&gt;'Immobilien-Kalkulation'!$B$69),'Immobilien-Kalkulation'!$B$73,'Immobilien-Kalkulation'!$B$65))</f>
        <v>3.5000000000000003E-2</v>
      </c>
      <c r="D328" s="53">
        <f>IF(A328&gt;'Immobilien-Kalkulation'!$B$70*12,0,I327)</f>
        <v>48800.643825275765</v>
      </c>
      <c r="E328" s="53">
        <f>IF(OR(A328&gt;'Immobilien-Kalkulation'!$B$70*12,D328&lt;=0),0,IF(AND('Immobilien-Kalkulation'!$B$72=1,B328&gt;'Immobilien-Kalkulation'!$B$69),MIN(D328*C328/12+'Immobilien-Kalkulation'!$B$74/12,D328*(1+C328/12)),MIN('Immobilien-Kalkulation'!$B$67,D328*(1+C328/12))))</f>
        <v>1429.9603560928113</v>
      </c>
      <c r="F328" s="53">
        <f>IF(OR(A328&gt;'Immobilien-Kalkulation'!$B$70*12,D328&lt;=0),0,D328*C328/12)</f>
        <v>142.33521115705432</v>
      </c>
      <c r="G328" s="53">
        <f>IF(OR(A328&gt;'Immobilien-Kalkulation'!$B$70*12,D328&lt;=0),0,MAX(0,MIN(D328,E328-F328)))</f>
        <v>1287.6251449357569</v>
      </c>
      <c r="H328" s="95">
        <v>0</v>
      </c>
      <c r="I328" s="53">
        <f>IF(A328&gt;'Immobilien-Kalkulation'!$B$70*12,0,MAX(0,D328-G328-J328))</f>
        <v>47513.018680340007</v>
      </c>
      <c r="J328" s="53">
        <f>IF(OR(A328&gt;'Immobilien-Kalkulation'!$B$70*12,D328&lt;=0),0,MIN(H328,MAX(0,D328-G328)))</f>
        <v>0</v>
      </c>
    </row>
    <row r="329" spans="1:10" x14ac:dyDescent="0.25">
      <c r="A329">
        <v>326</v>
      </c>
      <c r="B329">
        <f t="shared" si="5"/>
        <v>28</v>
      </c>
      <c r="C329" s="28">
        <f>IF(A329&gt;'Immobilien-Kalkulation'!$B$70*12,0,IF(AND('Immobilien-Kalkulation'!$B$72=1,B329&gt;'Immobilien-Kalkulation'!$B$69),'Immobilien-Kalkulation'!$B$73,'Immobilien-Kalkulation'!$B$65))</f>
        <v>3.5000000000000003E-2</v>
      </c>
      <c r="D329" s="53">
        <f>IF(A329&gt;'Immobilien-Kalkulation'!$B$70*12,0,I328)</f>
        <v>47513.018680340007</v>
      </c>
      <c r="E329" s="53">
        <f>IF(OR(A329&gt;'Immobilien-Kalkulation'!$B$70*12,D329&lt;=0),0,IF(AND('Immobilien-Kalkulation'!$B$72=1,B329&gt;'Immobilien-Kalkulation'!$B$69),MIN(D329*C329/12+'Immobilien-Kalkulation'!$B$74/12,D329*(1+C329/12)),MIN('Immobilien-Kalkulation'!$B$67,D329*(1+C329/12))))</f>
        <v>1429.9603560928113</v>
      </c>
      <c r="F329" s="53">
        <f>IF(OR(A329&gt;'Immobilien-Kalkulation'!$B$70*12,D329&lt;=0),0,D329*C329/12)</f>
        <v>138.57963781765838</v>
      </c>
      <c r="G329" s="53">
        <f>IF(OR(A329&gt;'Immobilien-Kalkulation'!$B$70*12,D329&lt;=0),0,MAX(0,MIN(D329,E329-F329)))</f>
        <v>1291.380718275153</v>
      </c>
      <c r="H329" s="95">
        <v>0</v>
      </c>
      <c r="I329" s="53">
        <f>IF(A329&gt;'Immobilien-Kalkulation'!$B$70*12,0,MAX(0,D329-G329-J329))</f>
        <v>46221.637962064851</v>
      </c>
      <c r="J329" s="53">
        <f>IF(OR(A329&gt;'Immobilien-Kalkulation'!$B$70*12,D329&lt;=0),0,MIN(H329,MAX(0,D329-G329)))</f>
        <v>0</v>
      </c>
    </row>
    <row r="330" spans="1:10" x14ac:dyDescent="0.25">
      <c r="A330">
        <v>327</v>
      </c>
      <c r="B330">
        <f t="shared" si="5"/>
        <v>28</v>
      </c>
      <c r="C330" s="28">
        <f>IF(A330&gt;'Immobilien-Kalkulation'!$B$70*12,0,IF(AND('Immobilien-Kalkulation'!$B$72=1,B330&gt;'Immobilien-Kalkulation'!$B$69),'Immobilien-Kalkulation'!$B$73,'Immobilien-Kalkulation'!$B$65))</f>
        <v>3.5000000000000003E-2</v>
      </c>
      <c r="D330" s="53">
        <f>IF(A330&gt;'Immobilien-Kalkulation'!$B$70*12,0,I329)</f>
        <v>46221.637962064851</v>
      </c>
      <c r="E330" s="53">
        <f>IF(OR(A330&gt;'Immobilien-Kalkulation'!$B$70*12,D330&lt;=0),0,IF(AND('Immobilien-Kalkulation'!$B$72=1,B330&gt;'Immobilien-Kalkulation'!$B$69),MIN(D330*C330/12+'Immobilien-Kalkulation'!$B$74/12,D330*(1+C330/12)),MIN('Immobilien-Kalkulation'!$B$67,D330*(1+C330/12))))</f>
        <v>1429.9603560928113</v>
      </c>
      <c r="F330" s="53">
        <f>IF(OR(A330&gt;'Immobilien-Kalkulation'!$B$70*12,D330&lt;=0),0,D330*C330/12)</f>
        <v>134.81311072268917</v>
      </c>
      <c r="G330" s="53">
        <f>IF(OR(A330&gt;'Immobilien-Kalkulation'!$B$70*12,D330&lt;=0),0,MAX(0,MIN(D330,E330-F330)))</f>
        <v>1295.1472453701222</v>
      </c>
      <c r="H330" s="95">
        <v>0</v>
      </c>
      <c r="I330" s="53">
        <f>IF(A330&gt;'Immobilien-Kalkulation'!$B$70*12,0,MAX(0,D330-G330-J330))</f>
        <v>44926.490716694731</v>
      </c>
      <c r="J330" s="53">
        <f>IF(OR(A330&gt;'Immobilien-Kalkulation'!$B$70*12,D330&lt;=0),0,MIN(H330,MAX(0,D330-G330)))</f>
        <v>0</v>
      </c>
    </row>
    <row r="331" spans="1:10" x14ac:dyDescent="0.25">
      <c r="A331">
        <v>328</v>
      </c>
      <c r="B331">
        <f t="shared" si="5"/>
        <v>28</v>
      </c>
      <c r="C331" s="28">
        <f>IF(A331&gt;'Immobilien-Kalkulation'!$B$70*12,0,IF(AND('Immobilien-Kalkulation'!$B$72=1,B331&gt;'Immobilien-Kalkulation'!$B$69),'Immobilien-Kalkulation'!$B$73,'Immobilien-Kalkulation'!$B$65))</f>
        <v>3.5000000000000003E-2</v>
      </c>
      <c r="D331" s="53">
        <f>IF(A331&gt;'Immobilien-Kalkulation'!$B$70*12,0,I330)</f>
        <v>44926.490716694731</v>
      </c>
      <c r="E331" s="53">
        <f>IF(OR(A331&gt;'Immobilien-Kalkulation'!$B$70*12,D331&lt;=0),0,IF(AND('Immobilien-Kalkulation'!$B$72=1,B331&gt;'Immobilien-Kalkulation'!$B$69),MIN(D331*C331/12+'Immobilien-Kalkulation'!$B$74/12,D331*(1+C331/12)),MIN('Immobilien-Kalkulation'!$B$67,D331*(1+C331/12))))</f>
        <v>1429.9603560928113</v>
      </c>
      <c r="F331" s="53">
        <f>IF(OR(A331&gt;'Immobilien-Kalkulation'!$B$70*12,D331&lt;=0),0,D331*C331/12)</f>
        <v>131.03559792369296</v>
      </c>
      <c r="G331" s="53">
        <f>IF(OR(A331&gt;'Immobilien-Kalkulation'!$B$70*12,D331&lt;=0),0,MAX(0,MIN(D331,E331-F331)))</f>
        <v>1298.9247581691184</v>
      </c>
      <c r="H331" s="95">
        <v>0</v>
      </c>
      <c r="I331" s="53">
        <f>IF(A331&gt;'Immobilien-Kalkulation'!$B$70*12,0,MAX(0,D331-G331-J331))</f>
        <v>43627.565958525614</v>
      </c>
      <c r="J331" s="53">
        <f>IF(OR(A331&gt;'Immobilien-Kalkulation'!$B$70*12,D331&lt;=0),0,MIN(H331,MAX(0,D331-G331)))</f>
        <v>0</v>
      </c>
    </row>
    <row r="332" spans="1:10" x14ac:dyDescent="0.25">
      <c r="A332">
        <v>329</v>
      </c>
      <c r="B332">
        <f t="shared" si="5"/>
        <v>28</v>
      </c>
      <c r="C332" s="28">
        <f>IF(A332&gt;'Immobilien-Kalkulation'!$B$70*12,0,IF(AND('Immobilien-Kalkulation'!$B$72=1,B332&gt;'Immobilien-Kalkulation'!$B$69),'Immobilien-Kalkulation'!$B$73,'Immobilien-Kalkulation'!$B$65))</f>
        <v>3.5000000000000003E-2</v>
      </c>
      <c r="D332" s="53">
        <f>IF(A332&gt;'Immobilien-Kalkulation'!$B$70*12,0,I331)</f>
        <v>43627.565958525614</v>
      </c>
      <c r="E332" s="53">
        <f>IF(OR(A332&gt;'Immobilien-Kalkulation'!$B$70*12,D332&lt;=0),0,IF(AND('Immobilien-Kalkulation'!$B$72=1,B332&gt;'Immobilien-Kalkulation'!$B$69),MIN(D332*C332/12+'Immobilien-Kalkulation'!$B$74/12,D332*(1+C332/12)),MIN('Immobilien-Kalkulation'!$B$67,D332*(1+C332/12))))</f>
        <v>1429.9603560928113</v>
      </c>
      <c r="F332" s="53">
        <f>IF(OR(A332&gt;'Immobilien-Kalkulation'!$B$70*12,D332&lt;=0),0,D332*C332/12)</f>
        <v>127.24706737903306</v>
      </c>
      <c r="G332" s="53">
        <f>IF(OR(A332&gt;'Immobilien-Kalkulation'!$B$70*12,D332&lt;=0),0,MAX(0,MIN(D332,E332-F332)))</f>
        <v>1302.7132887137782</v>
      </c>
      <c r="H332" s="95">
        <v>0</v>
      </c>
      <c r="I332" s="53">
        <f>IF(A332&gt;'Immobilien-Kalkulation'!$B$70*12,0,MAX(0,D332-G332-J332))</f>
        <v>42324.852669811837</v>
      </c>
      <c r="J332" s="53">
        <f>IF(OR(A332&gt;'Immobilien-Kalkulation'!$B$70*12,D332&lt;=0),0,MIN(H332,MAX(0,D332-G332)))</f>
        <v>0</v>
      </c>
    </row>
    <row r="333" spans="1:10" x14ac:dyDescent="0.25">
      <c r="A333">
        <v>330</v>
      </c>
      <c r="B333">
        <f t="shared" si="5"/>
        <v>28</v>
      </c>
      <c r="C333" s="28">
        <f>IF(A333&gt;'Immobilien-Kalkulation'!$B$70*12,0,IF(AND('Immobilien-Kalkulation'!$B$72=1,B333&gt;'Immobilien-Kalkulation'!$B$69),'Immobilien-Kalkulation'!$B$73,'Immobilien-Kalkulation'!$B$65))</f>
        <v>3.5000000000000003E-2</v>
      </c>
      <c r="D333" s="53">
        <f>IF(A333&gt;'Immobilien-Kalkulation'!$B$70*12,0,I332)</f>
        <v>42324.852669811837</v>
      </c>
      <c r="E333" s="53">
        <f>IF(OR(A333&gt;'Immobilien-Kalkulation'!$B$70*12,D333&lt;=0),0,IF(AND('Immobilien-Kalkulation'!$B$72=1,B333&gt;'Immobilien-Kalkulation'!$B$69),MIN(D333*C333/12+'Immobilien-Kalkulation'!$B$74/12,D333*(1+C333/12)),MIN('Immobilien-Kalkulation'!$B$67,D333*(1+C333/12))))</f>
        <v>1429.9603560928113</v>
      </c>
      <c r="F333" s="53">
        <f>IF(OR(A333&gt;'Immobilien-Kalkulation'!$B$70*12,D333&lt;=0),0,D333*C333/12)</f>
        <v>123.44748695361788</v>
      </c>
      <c r="G333" s="53">
        <f>IF(OR(A333&gt;'Immobilien-Kalkulation'!$B$70*12,D333&lt;=0),0,MAX(0,MIN(D333,E333-F333)))</f>
        <v>1306.5128691391933</v>
      </c>
      <c r="H333" s="95">
        <v>0</v>
      </c>
      <c r="I333" s="53">
        <f>IF(A333&gt;'Immobilien-Kalkulation'!$B$70*12,0,MAX(0,D333-G333-J333))</f>
        <v>41018.339800672642</v>
      </c>
      <c r="J333" s="53">
        <f>IF(OR(A333&gt;'Immobilien-Kalkulation'!$B$70*12,D333&lt;=0),0,MIN(H333,MAX(0,D333-G333)))</f>
        <v>0</v>
      </c>
    </row>
    <row r="334" spans="1:10" x14ac:dyDescent="0.25">
      <c r="A334">
        <v>331</v>
      </c>
      <c r="B334">
        <f t="shared" si="5"/>
        <v>28</v>
      </c>
      <c r="C334" s="28">
        <f>IF(A334&gt;'Immobilien-Kalkulation'!$B$70*12,0,IF(AND('Immobilien-Kalkulation'!$B$72=1,B334&gt;'Immobilien-Kalkulation'!$B$69),'Immobilien-Kalkulation'!$B$73,'Immobilien-Kalkulation'!$B$65))</f>
        <v>3.5000000000000003E-2</v>
      </c>
      <c r="D334" s="53">
        <f>IF(A334&gt;'Immobilien-Kalkulation'!$B$70*12,0,I333)</f>
        <v>41018.339800672642</v>
      </c>
      <c r="E334" s="53">
        <f>IF(OR(A334&gt;'Immobilien-Kalkulation'!$B$70*12,D334&lt;=0),0,IF(AND('Immobilien-Kalkulation'!$B$72=1,B334&gt;'Immobilien-Kalkulation'!$B$69),MIN(D334*C334/12+'Immobilien-Kalkulation'!$B$74/12,D334*(1+C334/12)),MIN('Immobilien-Kalkulation'!$B$67,D334*(1+C334/12))))</f>
        <v>1429.9603560928113</v>
      </c>
      <c r="F334" s="53">
        <f>IF(OR(A334&gt;'Immobilien-Kalkulation'!$B$70*12,D334&lt;=0),0,D334*C334/12)</f>
        <v>119.63682441862856</v>
      </c>
      <c r="G334" s="53">
        <f>IF(OR(A334&gt;'Immobilien-Kalkulation'!$B$70*12,D334&lt;=0),0,MAX(0,MIN(D334,E334-F334)))</f>
        <v>1310.3235316741827</v>
      </c>
      <c r="H334" s="95">
        <v>0</v>
      </c>
      <c r="I334" s="53">
        <f>IF(A334&gt;'Immobilien-Kalkulation'!$B$70*12,0,MAX(0,D334-G334-J334))</f>
        <v>39708.016268998457</v>
      </c>
      <c r="J334" s="53">
        <f>IF(OR(A334&gt;'Immobilien-Kalkulation'!$B$70*12,D334&lt;=0),0,MIN(H334,MAX(0,D334-G334)))</f>
        <v>0</v>
      </c>
    </row>
    <row r="335" spans="1:10" x14ac:dyDescent="0.25">
      <c r="A335">
        <v>332</v>
      </c>
      <c r="B335">
        <f t="shared" si="5"/>
        <v>28</v>
      </c>
      <c r="C335" s="28">
        <f>IF(A335&gt;'Immobilien-Kalkulation'!$B$70*12,0,IF(AND('Immobilien-Kalkulation'!$B$72=1,B335&gt;'Immobilien-Kalkulation'!$B$69),'Immobilien-Kalkulation'!$B$73,'Immobilien-Kalkulation'!$B$65))</f>
        <v>3.5000000000000003E-2</v>
      </c>
      <c r="D335" s="53">
        <f>IF(A335&gt;'Immobilien-Kalkulation'!$B$70*12,0,I334)</f>
        <v>39708.016268998457</v>
      </c>
      <c r="E335" s="53">
        <f>IF(OR(A335&gt;'Immobilien-Kalkulation'!$B$70*12,D335&lt;=0),0,IF(AND('Immobilien-Kalkulation'!$B$72=1,B335&gt;'Immobilien-Kalkulation'!$B$69),MIN(D335*C335/12+'Immobilien-Kalkulation'!$B$74/12,D335*(1+C335/12)),MIN('Immobilien-Kalkulation'!$B$67,D335*(1+C335/12))))</f>
        <v>1429.9603560928113</v>
      </c>
      <c r="F335" s="53">
        <f>IF(OR(A335&gt;'Immobilien-Kalkulation'!$B$70*12,D335&lt;=0),0,D335*C335/12)</f>
        <v>115.8150474512455</v>
      </c>
      <c r="G335" s="53">
        <f>IF(OR(A335&gt;'Immobilien-Kalkulation'!$B$70*12,D335&lt;=0),0,MAX(0,MIN(D335,E335-F335)))</f>
        <v>1314.1453086415659</v>
      </c>
      <c r="H335" s="95">
        <v>0</v>
      </c>
      <c r="I335" s="53">
        <f>IF(A335&gt;'Immobilien-Kalkulation'!$B$70*12,0,MAX(0,D335-G335-J335))</f>
        <v>38393.870960356893</v>
      </c>
      <c r="J335" s="53">
        <f>IF(OR(A335&gt;'Immobilien-Kalkulation'!$B$70*12,D335&lt;=0),0,MIN(H335,MAX(0,D335-G335)))</f>
        <v>0</v>
      </c>
    </row>
    <row r="336" spans="1:10" x14ac:dyDescent="0.25">
      <c r="A336">
        <v>333</v>
      </c>
      <c r="B336">
        <f t="shared" si="5"/>
        <v>28</v>
      </c>
      <c r="C336" s="28">
        <f>IF(A336&gt;'Immobilien-Kalkulation'!$B$70*12,0,IF(AND('Immobilien-Kalkulation'!$B$72=1,B336&gt;'Immobilien-Kalkulation'!$B$69),'Immobilien-Kalkulation'!$B$73,'Immobilien-Kalkulation'!$B$65))</f>
        <v>3.5000000000000003E-2</v>
      </c>
      <c r="D336" s="53">
        <f>IF(A336&gt;'Immobilien-Kalkulation'!$B$70*12,0,I335)</f>
        <v>38393.870960356893</v>
      </c>
      <c r="E336" s="53">
        <f>IF(OR(A336&gt;'Immobilien-Kalkulation'!$B$70*12,D336&lt;=0),0,IF(AND('Immobilien-Kalkulation'!$B$72=1,B336&gt;'Immobilien-Kalkulation'!$B$69),MIN(D336*C336/12+'Immobilien-Kalkulation'!$B$74/12,D336*(1+C336/12)),MIN('Immobilien-Kalkulation'!$B$67,D336*(1+C336/12))))</f>
        <v>1429.9603560928113</v>
      </c>
      <c r="F336" s="53">
        <f>IF(OR(A336&gt;'Immobilien-Kalkulation'!$B$70*12,D336&lt;=0),0,D336*C336/12)</f>
        <v>111.98212363437428</v>
      </c>
      <c r="G336" s="53">
        <f>IF(OR(A336&gt;'Immobilien-Kalkulation'!$B$70*12,D336&lt;=0),0,MAX(0,MIN(D336,E336-F336)))</f>
        <v>1317.9782324584369</v>
      </c>
      <c r="H336" s="95">
        <v>0</v>
      </c>
      <c r="I336" s="53">
        <f>IF(A336&gt;'Immobilien-Kalkulation'!$B$70*12,0,MAX(0,D336-G336-J336))</f>
        <v>37075.892727898456</v>
      </c>
      <c r="J336" s="53">
        <f>IF(OR(A336&gt;'Immobilien-Kalkulation'!$B$70*12,D336&lt;=0),0,MIN(H336,MAX(0,D336-G336)))</f>
        <v>0</v>
      </c>
    </row>
    <row r="337" spans="1:10" x14ac:dyDescent="0.25">
      <c r="A337">
        <v>334</v>
      </c>
      <c r="B337">
        <f t="shared" si="5"/>
        <v>28</v>
      </c>
      <c r="C337" s="28">
        <f>IF(A337&gt;'Immobilien-Kalkulation'!$B$70*12,0,IF(AND('Immobilien-Kalkulation'!$B$72=1,B337&gt;'Immobilien-Kalkulation'!$B$69),'Immobilien-Kalkulation'!$B$73,'Immobilien-Kalkulation'!$B$65))</f>
        <v>3.5000000000000003E-2</v>
      </c>
      <c r="D337" s="53">
        <f>IF(A337&gt;'Immobilien-Kalkulation'!$B$70*12,0,I336)</f>
        <v>37075.892727898456</v>
      </c>
      <c r="E337" s="53">
        <f>IF(OR(A337&gt;'Immobilien-Kalkulation'!$B$70*12,D337&lt;=0),0,IF(AND('Immobilien-Kalkulation'!$B$72=1,B337&gt;'Immobilien-Kalkulation'!$B$69),MIN(D337*C337/12+'Immobilien-Kalkulation'!$B$74/12,D337*(1+C337/12)),MIN('Immobilien-Kalkulation'!$B$67,D337*(1+C337/12))))</f>
        <v>1429.9603560928113</v>
      </c>
      <c r="F337" s="53">
        <f>IF(OR(A337&gt;'Immobilien-Kalkulation'!$B$70*12,D337&lt;=0),0,D337*C337/12)</f>
        <v>108.1380204563705</v>
      </c>
      <c r="G337" s="53">
        <f>IF(OR(A337&gt;'Immobilien-Kalkulation'!$B$70*12,D337&lt;=0),0,MAX(0,MIN(D337,E337-F337)))</f>
        <v>1321.8223356364408</v>
      </c>
      <c r="H337" s="95">
        <v>0</v>
      </c>
      <c r="I337" s="53">
        <f>IF(A337&gt;'Immobilien-Kalkulation'!$B$70*12,0,MAX(0,D337-G337-J337))</f>
        <v>35754.070392262016</v>
      </c>
      <c r="J337" s="53">
        <f>IF(OR(A337&gt;'Immobilien-Kalkulation'!$B$70*12,D337&lt;=0),0,MIN(H337,MAX(0,D337-G337)))</f>
        <v>0</v>
      </c>
    </row>
    <row r="338" spans="1:10" x14ac:dyDescent="0.25">
      <c r="A338">
        <v>335</v>
      </c>
      <c r="B338">
        <f t="shared" si="5"/>
        <v>28</v>
      </c>
      <c r="C338" s="28">
        <f>IF(A338&gt;'Immobilien-Kalkulation'!$B$70*12,0,IF(AND('Immobilien-Kalkulation'!$B$72=1,B338&gt;'Immobilien-Kalkulation'!$B$69),'Immobilien-Kalkulation'!$B$73,'Immobilien-Kalkulation'!$B$65))</f>
        <v>3.5000000000000003E-2</v>
      </c>
      <c r="D338" s="53">
        <f>IF(A338&gt;'Immobilien-Kalkulation'!$B$70*12,0,I337)</f>
        <v>35754.070392262016</v>
      </c>
      <c r="E338" s="53">
        <f>IF(OR(A338&gt;'Immobilien-Kalkulation'!$B$70*12,D338&lt;=0),0,IF(AND('Immobilien-Kalkulation'!$B$72=1,B338&gt;'Immobilien-Kalkulation'!$B$69),MIN(D338*C338/12+'Immobilien-Kalkulation'!$B$74/12,D338*(1+C338/12)),MIN('Immobilien-Kalkulation'!$B$67,D338*(1+C338/12))))</f>
        <v>1429.9603560928113</v>
      </c>
      <c r="F338" s="53">
        <f>IF(OR(A338&gt;'Immobilien-Kalkulation'!$B$70*12,D338&lt;=0),0,D338*C338/12)</f>
        <v>104.28270531076423</v>
      </c>
      <c r="G338" s="53">
        <f>IF(OR(A338&gt;'Immobilien-Kalkulation'!$B$70*12,D338&lt;=0),0,MAX(0,MIN(D338,E338-F338)))</f>
        <v>1325.6776507820471</v>
      </c>
      <c r="H338" s="95">
        <v>0</v>
      </c>
      <c r="I338" s="53">
        <f>IF(A338&gt;'Immobilien-Kalkulation'!$B$70*12,0,MAX(0,D338-G338-J338))</f>
        <v>34428.392741479969</v>
      </c>
      <c r="J338" s="53">
        <f>IF(OR(A338&gt;'Immobilien-Kalkulation'!$B$70*12,D338&lt;=0),0,MIN(H338,MAX(0,D338-G338)))</f>
        <v>0</v>
      </c>
    </row>
    <row r="339" spans="1:10" x14ac:dyDescent="0.25">
      <c r="A339">
        <v>336</v>
      </c>
      <c r="B339">
        <f t="shared" si="5"/>
        <v>28</v>
      </c>
      <c r="C339" s="28">
        <f>IF(A339&gt;'Immobilien-Kalkulation'!$B$70*12,0,IF(AND('Immobilien-Kalkulation'!$B$72=1,B339&gt;'Immobilien-Kalkulation'!$B$69),'Immobilien-Kalkulation'!$B$73,'Immobilien-Kalkulation'!$B$65))</f>
        <v>3.5000000000000003E-2</v>
      </c>
      <c r="D339" s="53">
        <f>IF(A339&gt;'Immobilien-Kalkulation'!$B$70*12,0,I338)</f>
        <v>34428.392741479969</v>
      </c>
      <c r="E339" s="53">
        <f>IF(OR(A339&gt;'Immobilien-Kalkulation'!$B$70*12,D339&lt;=0),0,IF(AND('Immobilien-Kalkulation'!$B$72=1,B339&gt;'Immobilien-Kalkulation'!$B$69),MIN(D339*C339/12+'Immobilien-Kalkulation'!$B$74/12,D339*(1+C339/12)),MIN('Immobilien-Kalkulation'!$B$67,D339*(1+C339/12))))</f>
        <v>1429.9603560928113</v>
      </c>
      <c r="F339" s="53">
        <f>IF(OR(A339&gt;'Immobilien-Kalkulation'!$B$70*12,D339&lt;=0),0,D339*C339/12)</f>
        <v>100.41614549598324</v>
      </c>
      <c r="G339" s="53">
        <f>IF(OR(A339&gt;'Immobilien-Kalkulation'!$B$70*12,D339&lt;=0),0,MAX(0,MIN(D339,E339-F339)))</f>
        <v>1329.544210596828</v>
      </c>
      <c r="H339" s="95">
        <v>0</v>
      </c>
      <c r="I339" s="53">
        <f>IF(A339&gt;'Immobilien-Kalkulation'!$B$70*12,0,MAX(0,D339-G339-J339))</f>
        <v>33098.848530883144</v>
      </c>
      <c r="J339" s="53">
        <f>IF(OR(A339&gt;'Immobilien-Kalkulation'!$B$70*12,D339&lt;=0),0,MIN(H339,MAX(0,D339-G339)))</f>
        <v>0</v>
      </c>
    </row>
    <row r="340" spans="1:10" x14ac:dyDescent="0.25">
      <c r="A340">
        <v>337</v>
      </c>
      <c r="B340">
        <f t="shared" si="5"/>
        <v>29</v>
      </c>
      <c r="C340" s="28">
        <f>IF(A340&gt;'Immobilien-Kalkulation'!$B$70*12,0,IF(AND('Immobilien-Kalkulation'!$B$72=1,B340&gt;'Immobilien-Kalkulation'!$B$69),'Immobilien-Kalkulation'!$B$73,'Immobilien-Kalkulation'!$B$65))</f>
        <v>3.5000000000000003E-2</v>
      </c>
      <c r="D340" s="53">
        <f>IF(A340&gt;'Immobilien-Kalkulation'!$B$70*12,0,I339)</f>
        <v>33098.848530883144</v>
      </c>
      <c r="E340" s="53">
        <f>IF(OR(A340&gt;'Immobilien-Kalkulation'!$B$70*12,D340&lt;=0),0,IF(AND('Immobilien-Kalkulation'!$B$72=1,B340&gt;'Immobilien-Kalkulation'!$B$69),MIN(D340*C340/12+'Immobilien-Kalkulation'!$B$74/12,D340*(1+C340/12)),MIN('Immobilien-Kalkulation'!$B$67,D340*(1+C340/12))))</f>
        <v>1429.9603560928113</v>
      </c>
      <c r="F340" s="53">
        <f>IF(OR(A340&gt;'Immobilien-Kalkulation'!$B$70*12,D340&lt;=0),0,D340*C340/12)</f>
        <v>96.538308215075844</v>
      </c>
      <c r="G340" s="53">
        <f>IF(OR(A340&gt;'Immobilien-Kalkulation'!$B$70*12,D340&lt;=0),0,MAX(0,MIN(D340,E340-F340)))</f>
        <v>1333.4220478777354</v>
      </c>
      <c r="H340" s="95">
        <v>0</v>
      </c>
      <c r="I340" s="53">
        <f>IF(A340&gt;'Immobilien-Kalkulation'!$B$70*12,0,MAX(0,D340-G340-J340))</f>
        <v>31765.426483005409</v>
      </c>
      <c r="J340" s="53">
        <f>IF(OR(A340&gt;'Immobilien-Kalkulation'!$B$70*12,D340&lt;=0),0,MIN(H340,MAX(0,D340-G340)))</f>
        <v>0</v>
      </c>
    </row>
    <row r="341" spans="1:10" x14ac:dyDescent="0.25">
      <c r="A341">
        <v>338</v>
      </c>
      <c r="B341">
        <f t="shared" si="5"/>
        <v>29</v>
      </c>
      <c r="C341" s="28">
        <f>IF(A341&gt;'Immobilien-Kalkulation'!$B$70*12,0,IF(AND('Immobilien-Kalkulation'!$B$72=1,B341&gt;'Immobilien-Kalkulation'!$B$69),'Immobilien-Kalkulation'!$B$73,'Immobilien-Kalkulation'!$B$65))</f>
        <v>3.5000000000000003E-2</v>
      </c>
      <c r="D341" s="53">
        <f>IF(A341&gt;'Immobilien-Kalkulation'!$B$70*12,0,I340)</f>
        <v>31765.426483005409</v>
      </c>
      <c r="E341" s="53">
        <f>IF(OR(A341&gt;'Immobilien-Kalkulation'!$B$70*12,D341&lt;=0),0,IF(AND('Immobilien-Kalkulation'!$B$72=1,B341&gt;'Immobilien-Kalkulation'!$B$69),MIN(D341*C341/12+'Immobilien-Kalkulation'!$B$74/12,D341*(1+C341/12)),MIN('Immobilien-Kalkulation'!$B$67,D341*(1+C341/12))))</f>
        <v>1429.9603560928113</v>
      </c>
      <c r="F341" s="53">
        <f>IF(OR(A341&gt;'Immobilien-Kalkulation'!$B$70*12,D341&lt;=0),0,D341*C341/12)</f>
        <v>92.649160575432461</v>
      </c>
      <c r="G341" s="53">
        <f>IF(OR(A341&gt;'Immobilien-Kalkulation'!$B$70*12,D341&lt;=0),0,MAX(0,MIN(D341,E341-F341)))</f>
        <v>1337.3111955173788</v>
      </c>
      <c r="H341" s="95">
        <v>0</v>
      </c>
      <c r="I341" s="53">
        <f>IF(A341&gt;'Immobilien-Kalkulation'!$B$70*12,0,MAX(0,D341-G341-J341))</f>
        <v>30428.115287488032</v>
      </c>
      <c r="J341" s="53">
        <f>IF(OR(A341&gt;'Immobilien-Kalkulation'!$B$70*12,D341&lt;=0),0,MIN(H341,MAX(0,D341-G341)))</f>
        <v>0</v>
      </c>
    </row>
    <row r="342" spans="1:10" x14ac:dyDescent="0.25">
      <c r="A342">
        <v>339</v>
      </c>
      <c r="B342">
        <f t="shared" si="5"/>
        <v>29</v>
      </c>
      <c r="C342" s="28">
        <f>IF(A342&gt;'Immobilien-Kalkulation'!$B$70*12,0,IF(AND('Immobilien-Kalkulation'!$B$72=1,B342&gt;'Immobilien-Kalkulation'!$B$69),'Immobilien-Kalkulation'!$B$73,'Immobilien-Kalkulation'!$B$65))</f>
        <v>3.5000000000000003E-2</v>
      </c>
      <c r="D342" s="53">
        <f>IF(A342&gt;'Immobilien-Kalkulation'!$B$70*12,0,I341)</f>
        <v>30428.115287488032</v>
      </c>
      <c r="E342" s="53">
        <f>IF(OR(A342&gt;'Immobilien-Kalkulation'!$B$70*12,D342&lt;=0),0,IF(AND('Immobilien-Kalkulation'!$B$72=1,B342&gt;'Immobilien-Kalkulation'!$B$69),MIN(D342*C342/12+'Immobilien-Kalkulation'!$B$74/12,D342*(1+C342/12)),MIN('Immobilien-Kalkulation'!$B$67,D342*(1+C342/12))))</f>
        <v>1429.9603560928113</v>
      </c>
      <c r="F342" s="53">
        <f>IF(OR(A342&gt;'Immobilien-Kalkulation'!$B$70*12,D342&lt;=0),0,D342*C342/12)</f>
        <v>88.748669588506758</v>
      </c>
      <c r="G342" s="53">
        <f>IF(OR(A342&gt;'Immobilien-Kalkulation'!$B$70*12,D342&lt;=0),0,MAX(0,MIN(D342,E342-F342)))</f>
        <v>1341.2116865043045</v>
      </c>
      <c r="H342" s="95">
        <v>0</v>
      </c>
      <c r="I342" s="53">
        <f>IF(A342&gt;'Immobilien-Kalkulation'!$B$70*12,0,MAX(0,D342-G342-J342))</f>
        <v>29086.903600983729</v>
      </c>
      <c r="J342" s="53">
        <f>IF(OR(A342&gt;'Immobilien-Kalkulation'!$B$70*12,D342&lt;=0),0,MIN(H342,MAX(0,D342-G342)))</f>
        <v>0</v>
      </c>
    </row>
    <row r="343" spans="1:10" x14ac:dyDescent="0.25">
      <c r="A343">
        <v>340</v>
      </c>
      <c r="B343">
        <f t="shared" si="5"/>
        <v>29</v>
      </c>
      <c r="C343" s="28">
        <f>IF(A343&gt;'Immobilien-Kalkulation'!$B$70*12,0,IF(AND('Immobilien-Kalkulation'!$B$72=1,B343&gt;'Immobilien-Kalkulation'!$B$69),'Immobilien-Kalkulation'!$B$73,'Immobilien-Kalkulation'!$B$65))</f>
        <v>3.5000000000000003E-2</v>
      </c>
      <c r="D343" s="53">
        <f>IF(A343&gt;'Immobilien-Kalkulation'!$B$70*12,0,I342)</f>
        <v>29086.903600983729</v>
      </c>
      <c r="E343" s="53">
        <f>IF(OR(A343&gt;'Immobilien-Kalkulation'!$B$70*12,D343&lt;=0),0,IF(AND('Immobilien-Kalkulation'!$B$72=1,B343&gt;'Immobilien-Kalkulation'!$B$69),MIN(D343*C343/12+'Immobilien-Kalkulation'!$B$74/12,D343*(1+C343/12)),MIN('Immobilien-Kalkulation'!$B$67,D343*(1+C343/12))))</f>
        <v>1429.9603560928113</v>
      </c>
      <c r="F343" s="53">
        <f>IF(OR(A343&gt;'Immobilien-Kalkulation'!$B$70*12,D343&lt;=0),0,D343*C343/12)</f>
        <v>84.836802169535886</v>
      </c>
      <c r="G343" s="53">
        <f>IF(OR(A343&gt;'Immobilien-Kalkulation'!$B$70*12,D343&lt;=0),0,MAX(0,MIN(D343,E343-F343)))</f>
        <v>1345.1235539232753</v>
      </c>
      <c r="H343" s="95">
        <v>0</v>
      </c>
      <c r="I343" s="53">
        <f>IF(A343&gt;'Immobilien-Kalkulation'!$B$70*12,0,MAX(0,D343-G343-J343))</f>
        <v>27741.780047060452</v>
      </c>
      <c r="J343" s="53">
        <f>IF(OR(A343&gt;'Immobilien-Kalkulation'!$B$70*12,D343&lt;=0),0,MIN(H343,MAX(0,D343-G343)))</f>
        <v>0</v>
      </c>
    </row>
    <row r="344" spans="1:10" x14ac:dyDescent="0.25">
      <c r="A344">
        <v>341</v>
      </c>
      <c r="B344">
        <f t="shared" si="5"/>
        <v>29</v>
      </c>
      <c r="C344" s="28">
        <f>IF(A344&gt;'Immobilien-Kalkulation'!$B$70*12,0,IF(AND('Immobilien-Kalkulation'!$B$72=1,B344&gt;'Immobilien-Kalkulation'!$B$69),'Immobilien-Kalkulation'!$B$73,'Immobilien-Kalkulation'!$B$65))</f>
        <v>3.5000000000000003E-2</v>
      </c>
      <c r="D344" s="53">
        <f>IF(A344&gt;'Immobilien-Kalkulation'!$B$70*12,0,I343)</f>
        <v>27741.780047060452</v>
      </c>
      <c r="E344" s="53">
        <f>IF(OR(A344&gt;'Immobilien-Kalkulation'!$B$70*12,D344&lt;=0),0,IF(AND('Immobilien-Kalkulation'!$B$72=1,B344&gt;'Immobilien-Kalkulation'!$B$69),MIN(D344*C344/12+'Immobilien-Kalkulation'!$B$74/12,D344*(1+C344/12)),MIN('Immobilien-Kalkulation'!$B$67,D344*(1+C344/12))))</f>
        <v>1429.9603560928113</v>
      </c>
      <c r="F344" s="53">
        <f>IF(OR(A344&gt;'Immobilien-Kalkulation'!$B$70*12,D344&lt;=0),0,D344*C344/12)</f>
        <v>80.913525137259668</v>
      </c>
      <c r="G344" s="53">
        <f>IF(OR(A344&gt;'Immobilien-Kalkulation'!$B$70*12,D344&lt;=0),0,MAX(0,MIN(D344,E344-F344)))</f>
        <v>1349.0468309555515</v>
      </c>
      <c r="H344" s="95">
        <v>0</v>
      </c>
      <c r="I344" s="53">
        <f>IF(A344&gt;'Immobilien-Kalkulation'!$B$70*12,0,MAX(0,D344-G344-J344))</f>
        <v>26392.733216104902</v>
      </c>
      <c r="J344" s="53">
        <f>IF(OR(A344&gt;'Immobilien-Kalkulation'!$B$70*12,D344&lt;=0),0,MIN(H344,MAX(0,D344-G344)))</f>
        <v>0</v>
      </c>
    </row>
    <row r="345" spans="1:10" x14ac:dyDescent="0.25">
      <c r="A345">
        <v>342</v>
      </c>
      <c r="B345">
        <f t="shared" si="5"/>
        <v>29</v>
      </c>
      <c r="C345" s="28">
        <f>IF(A345&gt;'Immobilien-Kalkulation'!$B$70*12,0,IF(AND('Immobilien-Kalkulation'!$B$72=1,B345&gt;'Immobilien-Kalkulation'!$B$69),'Immobilien-Kalkulation'!$B$73,'Immobilien-Kalkulation'!$B$65))</f>
        <v>3.5000000000000003E-2</v>
      </c>
      <c r="D345" s="53">
        <f>IF(A345&gt;'Immobilien-Kalkulation'!$B$70*12,0,I344)</f>
        <v>26392.733216104902</v>
      </c>
      <c r="E345" s="53">
        <f>IF(OR(A345&gt;'Immobilien-Kalkulation'!$B$70*12,D345&lt;=0),0,IF(AND('Immobilien-Kalkulation'!$B$72=1,B345&gt;'Immobilien-Kalkulation'!$B$69),MIN(D345*C345/12+'Immobilien-Kalkulation'!$B$74/12,D345*(1+C345/12)),MIN('Immobilien-Kalkulation'!$B$67,D345*(1+C345/12))))</f>
        <v>1429.9603560928113</v>
      </c>
      <c r="F345" s="53">
        <f>IF(OR(A345&gt;'Immobilien-Kalkulation'!$B$70*12,D345&lt;=0),0,D345*C345/12)</f>
        <v>76.978805213639305</v>
      </c>
      <c r="G345" s="53">
        <f>IF(OR(A345&gt;'Immobilien-Kalkulation'!$B$70*12,D345&lt;=0),0,MAX(0,MIN(D345,E345-F345)))</f>
        <v>1352.9815508791719</v>
      </c>
      <c r="H345" s="95">
        <v>0</v>
      </c>
      <c r="I345" s="53">
        <f>IF(A345&gt;'Immobilien-Kalkulation'!$B$70*12,0,MAX(0,D345-G345-J345))</f>
        <v>25039.751665225729</v>
      </c>
      <c r="J345" s="53">
        <f>IF(OR(A345&gt;'Immobilien-Kalkulation'!$B$70*12,D345&lt;=0),0,MIN(H345,MAX(0,D345-G345)))</f>
        <v>0</v>
      </c>
    </row>
    <row r="346" spans="1:10" x14ac:dyDescent="0.25">
      <c r="A346">
        <v>343</v>
      </c>
      <c r="B346">
        <f t="shared" si="5"/>
        <v>29</v>
      </c>
      <c r="C346" s="28">
        <f>IF(A346&gt;'Immobilien-Kalkulation'!$B$70*12,0,IF(AND('Immobilien-Kalkulation'!$B$72=1,B346&gt;'Immobilien-Kalkulation'!$B$69),'Immobilien-Kalkulation'!$B$73,'Immobilien-Kalkulation'!$B$65))</f>
        <v>3.5000000000000003E-2</v>
      </c>
      <c r="D346" s="53">
        <f>IF(A346&gt;'Immobilien-Kalkulation'!$B$70*12,0,I345)</f>
        <v>25039.751665225729</v>
      </c>
      <c r="E346" s="53">
        <f>IF(OR(A346&gt;'Immobilien-Kalkulation'!$B$70*12,D346&lt;=0),0,IF(AND('Immobilien-Kalkulation'!$B$72=1,B346&gt;'Immobilien-Kalkulation'!$B$69),MIN(D346*C346/12+'Immobilien-Kalkulation'!$B$74/12,D346*(1+C346/12)),MIN('Immobilien-Kalkulation'!$B$67,D346*(1+C346/12))))</f>
        <v>1429.9603560928113</v>
      </c>
      <c r="F346" s="53">
        <f>IF(OR(A346&gt;'Immobilien-Kalkulation'!$B$70*12,D346&lt;=0),0,D346*C346/12)</f>
        <v>73.032609023575048</v>
      </c>
      <c r="G346" s="53">
        <f>IF(OR(A346&gt;'Immobilien-Kalkulation'!$B$70*12,D346&lt;=0),0,MAX(0,MIN(D346,E346-F346)))</f>
        <v>1356.9277470692361</v>
      </c>
      <c r="H346" s="95">
        <v>0</v>
      </c>
      <c r="I346" s="53">
        <f>IF(A346&gt;'Immobilien-Kalkulation'!$B$70*12,0,MAX(0,D346-G346-J346))</f>
        <v>23682.823918156493</v>
      </c>
      <c r="J346" s="53">
        <f>IF(OR(A346&gt;'Immobilien-Kalkulation'!$B$70*12,D346&lt;=0),0,MIN(H346,MAX(0,D346-G346)))</f>
        <v>0</v>
      </c>
    </row>
    <row r="347" spans="1:10" x14ac:dyDescent="0.25">
      <c r="A347">
        <v>344</v>
      </c>
      <c r="B347">
        <f t="shared" si="5"/>
        <v>29</v>
      </c>
      <c r="C347" s="28">
        <f>IF(A347&gt;'Immobilien-Kalkulation'!$B$70*12,0,IF(AND('Immobilien-Kalkulation'!$B$72=1,B347&gt;'Immobilien-Kalkulation'!$B$69),'Immobilien-Kalkulation'!$B$73,'Immobilien-Kalkulation'!$B$65))</f>
        <v>3.5000000000000003E-2</v>
      </c>
      <c r="D347" s="53">
        <f>IF(A347&gt;'Immobilien-Kalkulation'!$B$70*12,0,I346)</f>
        <v>23682.823918156493</v>
      </c>
      <c r="E347" s="53">
        <f>IF(OR(A347&gt;'Immobilien-Kalkulation'!$B$70*12,D347&lt;=0),0,IF(AND('Immobilien-Kalkulation'!$B$72=1,B347&gt;'Immobilien-Kalkulation'!$B$69),MIN(D347*C347/12+'Immobilien-Kalkulation'!$B$74/12,D347*(1+C347/12)),MIN('Immobilien-Kalkulation'!$B$67,D347*(1+C347/12))))</f>
        <v>1429.9603560928113</v>
      </c>
      <c r="F347" s="53">
        <f>IF(OR(A347&gt;'Immobilien-Kalkulation'!$B$70*12,D347&lt;=0),0,D347*C347/12)</f>
        <v>69.07490309462311</v>
      </c>
      <c r="G347" s="53">
        <f>IF(OR(A347&gt;'Immobilien-Kalkulation'!$B$70*12,D347&lt;=0),0,MAX(0,MIN(D347,E347-F347)))</f>
        <v>1360.8854529981882</v>
      </c>
      <c r="H347" s="95">
        <v>0</v>
      </c>
      <c r="I347" s="53">
        <f>IF(A347&gt;'Immobilien-Kalkulation'!$B$70*12,0,MAX(0,D347-G347-J347))</f>
        <v>22321.938465158306</v>
      </c>
      <c r="J347" s="53">
        <f>IF(OR(A347&gt;'Immobilien-Kalkulation'!$B$70*12,D347&lt;=0),0,MIN(H347,MAX(0,D347-G347)))</f>
        <v>0</v>
      </c>
    </row>
    <row r="348" spans="1:10" x14ac:dyDescent="0.25">
      <c r="A348">
        <v>345</v>
      </c>
      <c r="B348">
        <f t="shared" si="5"/>
        <v>29</v>
      </c>
      <c r="C348" s="28">
        <f>IF(A348&gt;'Immobilien-Kalkulation'!$B$70*12,0,IF(AND('Immobilien-Kalkulation'!$B$72=1,B348&gt;'Immobilien-Kalkulation'!$B$69),'Immobilien-Kalkulation'!$B$73,'Immobilien-Kalkulation'!$B$65))</f>
        <v>3.5000000000000003E-2</v>
      </c>
      <c r="D348" s="53">
        <f>IF(A348&gt;'Immobilien-Kalkulation'!$B$70*12,0,I347)</f>
        <v>22321.938465158306</v>
      </c>
      <c r="E348" s="53">
        <f>IF(OR(A348&gt;'Immobilien-Kalkulation'!$B$70*12,D348&lt;=0),0,IF(AND('Immobilien-Kalkulation'!$B$72=1,B348&gt;'Immobilien-Kalkulation'!$B$69),MIN(D348*C348/12+'Immobilien-Kalkulation'!$B$74/12,D348*(1+C348/12)),MIN('Immobilien-Kalkulation'!$B$67,D348*(1+C348/12))))</f>
        <v>1429.9603560928113</v>
      </c>
      <c r="F348" s="53">
        <f>IF(OR(A348&gt;'Immobilien-Kalkulation'!$B$70*12,D348&lt;=0),0,D348*C348/12)</f>
        <v>65.105653856711726</v>
      </c>
      <c r="G348" s="53">
        <f>IF(OR(A348&gt;'Immobilien-Kalkulation'!$B$70*12,D348&lt;=0),0,MAX(0,MIN(D348,E348-F348)))</f>
        <v>1364.8547022360995</v>
      </c>
      <c r="H348" s="95">
        <v>0</v>
      </c>
      <c r="I348" s="53">
        <f>IF(A348&gt;'Immobilien-Kalkulation'!$B$70*12,0,MAX(0,D348-G348-J348))</f>
        <v>20957.083762922208</v>
      </c>
      <c r="J348" s="53">
        <f>IF(OR(A348&gt;'Immobilien-Kalkulation'!$B$70*12,D348&lt;=0),0,MIN(H348,MAX(0,D348-G348)))</f>
        <v>0</v>
      </c>
    </row>
    <row r="349" spans="1:10" x14ac:dyDescent="0.25">
      <c r="A349">
        <v>346</v>
      </c>
      <c r="B349">
        <f t="shared" si="5"/>
        <v>29</v>
      </c>
      <c r="C349" s="28">
        <f>IF(A349&gt;'Immobilien-Kalkulation'!$B$70*12,0,IF(AND('Immobilien-Kalkulation'!$B$72=1,B349&gt;'Immobilien-Kalkulation'!$B$69),'Immobilien-Kalkulation'!$B$73,'Immobilien-Kalkulation'!$B$65))</f>
        <v>3.5000000000000003E-2</v>
      </c>
      <c r="D349" s="53">
        <f>IF(A349&gt;'Immobilien-Kalkulation'!$B$70*12,0,I348)</f>
        <v>20957.083762922208</v>
      </c>
      <c r="E349" s="53">
        <f>IF(OR(A349&gt;'Immobilien-Kalkulation'!$B$70*12,D349&lt;=0),0,IF(AND('Immobilien-Kalkulation'!$B$72=1,B349&gt;'Immobilien-Kalkulation'!$B$69),MIN(D349*C349/12+'Immobilien-Kalkulation'!$B$74/12,D349*(1+C349/12)),MIN('Immobilien-Kalkulation'!$B$67,D349*(1+C349/12))))</f>
        <v>1429.9603560928113</v>
      </c>
      <c r="F349" s="53">
        <f>IF(OR(A349&gt;'Immobilien-Kalkulation'!$B$70*12,D349&lt;=0),0,D349*C349/12)</f>
        <v>61.124827641856449</v>
      </c>
      <c r="G349" s="53">
        <f>IF(OR(A349&gt;'Immobilien-Kalkulation'!$B$70*12,D349&lt;=0),0,MAX(0,MIN(D349,E349-F349)))</f>
        <v>1368.8355284509548</v>
      </c>
      <c r="H349" s="95">
        <v>0</v>
      </c>
      <c r="I349" s="53">
        <f>IF(A349&gt;'Immobilien-Kalkulation'!$B$70*12,0,MAX(0,D349-G349-J349))</f>
        <v>19588.248234471252</v>
      </c>
      <c r="J349" s="53">
        <f>IF(OR(A349&gt;'Immobilien-Kalkulation'!$B$70*12,D349&lt;=0),0,MIN(H349,MAX(0,D349-G349)))</f>
        <v>0</v>
      </c>
    </row>
    <row r="350" spans="1:10" x14ac:dyDescent="0.25">
      <c r="A350">
        <v>347</v>
      </c>
      <c r="B350">
        <f t="shared" si="5"/>
        <v>29</v>
      </c>
      <c r="C350" s="28">
        <f>IF(A350&gt;'Immobilien-Kalkulation'!$B$70*12,0,IF(AND('Immobilien-Kalkulation'!$B$72=1,B350&gt;'Immobilien-Kalkulation'!$B$69),'Immobilien-Kalkulation'!$B$73,'Immobilien-Kalkulation'!$B$65))</f>
        <v>3.5000000000000003E-2</v>
      </c>
      <c r="D350" s="53">
        <f>IF(A350&gt;'Immobilien-Kalkulation'!$B$70*12,0,I349)</f>
        <v>19588.248234471252</v>
      </c>
      <c r="E350" s="53">
        <f>IF(OR(A350&gt;'Immobilien-Kalkulation'!$B$70*12,D350&lt;=0),0,IF(AND('Immobilien-Kalkulation'!$B$72=1,B350&gt;'Immobilien-Kalkulation'!$B$69),MIN(D350*C350/12+'Immobilien-Kalkulation'!$B$74/12,D350*(1+C350/12)),MIN('Immobilien-Kalkulation'!$B$67,D350*(1+C350/12))))</f>
        <v>1429.9603560928113</v>
      </c>
      <c r="F350" s="53">
        <f>IF(OR(A350&gt;'Immobilien-Kalkulation'!$B$70*12,D350&lt;=0),0,D350*C350/12)</f>
        <v>57.13239068387449</v>
      </c>
      <c r="G350" s="53">
        <f>IF(OR(A350&gt;'Immobilien-Kalkulation'!$B$70*12,D350&lt;=0),0,MAX(0,MIN(D350,E350-F350)))</f>
        <v>1372.8279654089367</v>
      </c>
      <c r="H350" s="95">
        <v>0</v>
      </c>
      <c r="I350" s="53">
        <f>IF(A350&gt;'Immobilien-Kalkulation'!$B$70*12,0,MAX(0,D350-G350-J350))</f>
        <v>18215.420269062313</v>
      </c>
      <c r="J350" s="53">
        <f>IF(OR(A350&gt;'Immobilien-Kalkulation'!$B$70*12,D350&lt;=0),0,MIN(H350,MAX(0,D350-G350)))</f>
        <v>0</v>
      </c>
    </row>
    <row r="351" spans="1:10" x14ac:dyDescent="0.25">
      <c r="A351">
        <v>348</v>
      </c>
      <c r="B351">
        <f t="shared" si="5"/>
        <v>29</v>
      </c>
      <c r="C351" s="28">
        <f>IF(A351&gt;'Immobilien-Kalkulation'!$B$70*12,0,IF(AND('Immobilien-Kalkulation'!$B$72=1,B351&gt;'Immobilien-Kalkulation'!$B$69),'Immobilien-Kalkulation'!$B$73,'Immobilien-Kalkulation'!$B$65))</f>
        <v>3.5000000000000003E-2</v>
      </c>
      <c r="D351" s="53">
        <f>IF(A351&gt;'Immobilien-Kalkulation'!$B$70*12,0,I350)</f>
        <v>18215.420269062313</v>
      </c>
      <c r="E351" s="53">
        <f>IF(OR(A351&gt;'Immobilien-Kalkulation'!$B$70*12,D351&lt;=0),0,IF(AND('Immobilien-Kalkulation'!$B$72=1,B351&gt;'Immobilien-Kalkulation'!$B$69),MIN(D351*C351/12+'Immobilien-Kalkulation'!$B$74/12,D351*(1+C351/12)),MIN('Immobilien-Kalkulation'!$B$67,D351*(1+C351/12))))</f>
        <v>1429.9603560928113</v>
      </c>
      <c r="F351" s="53">
        <f>IF(OR(A351&gt;'Immobilien-Kalkulation'!$B$70*12,D351&lt;=0),0,D351*C351/12)</f>
        <v>53.128309118098421</v>
      </c>
      <c r="G351" s="53">
        <f>IF(OR(A351&gt;'Immobilien-Kalkulation'!$B$70*12,D351&lt;=0),0,MAX(0,MIN(D351,E351-F351)))</f>
        <v>1376.8320469747127</v>
      </c>
      <c r="H351" s="95">
        <v>0</v>
      </c>
      <c r="I351" s="53">
        <f>IF(A351&gt;'Immobilien-Kalkulation'!$B$70*12,0,MAX(0,D351-G351-J351))</f>
        <v>16838.588222087601</v>
      </c>
      <c r="J351" s="53">
        <f>IF(OR(A351&gt;'Immobilien-Kalkulation'!$B$70*12,D351&lt;=0),0,MIN(H351,MAX(0,D351-G351)))</f>
        <v>0</v>
      </c>
    </row>
    <row r="352" spans="1:10" x14ac:dyDescent="0.25">
      <c r="A352">
        <v>349</v>
      </c>
      <c r="B352">
        <f t="shared" si="5"/>
        <v>30</v>
      </c>
      <c r="C352" s="28">
        <f>IF(A352&gt;'Immobilien-Kalkulation'!$B$70*12,0,IF(AND('Immobilien-Kalkulation'!$B$72=1,B352&gt;'Immobilien-Kalkulation'!$B$69),'Immobilien-Kalkulation'!$B$73,'Immobilien-Kalkulation'!$B$65))</f>
        <v>3.5000000000000003E-2</v>
      </c>
      <c r="D352" s="53">
        <f>IF(A352&gt;'Immobilien-Kalkulation'!$B$70*12,0,I351)</f>
        <v>16838.588222087601</v>
      </c>
      <c r="E352" s="53">
        <f>IF(OR(A352&gt;'Immobilien-Kalkulation'!$B$70*12,D352&lt;=0),0,IF(AND('Immobilien-Kalkulation'!$B$72=1,B352&gt;'Immobilien-Kalkulation'!$B$69),MIN(D352*C352/12+'Immobilien-Kalkulation'!$B$74/12,D352*(1+C352/12)),MIN('Immobilien-Kalkulation'!$B$67,D352*(1+C352/12))))</f>
        <v>1429.9603560928113</v>
      </c>
      <c r="F352" s="53">
        <f>IF(OR(A352&gt;'Immobilien-Kalkulation'!$B$70*12,D352&lt;=0),0,D352*C352/12)</f>
        <v>49.112548981088842</v>
      </c>
      <c r="G352" s="53">
        <f>IF(OR(A352&gt;'Immobilien-Kalkulation'!$B$70*12,D352&lt;=0),0,MAX(0,MIN(D352,E352-F352)))</f>
        <v>1380.8478071117224</v>
      </c>
      <c r="H352" s="95">
        <v>0</v>
      </c>
      <c r="I352" s="53">
        <f>IF(A352&gt;'Immobilien-Kalkulation'!$B$70*12,0,MAX(0,D352-G352-J352))</f>
        <v>15457.740414975879</v>
      </c>
      <c r="J352" s="53">
        <f>IF(OR(A352&gt;'Immobilien-Kalkulation'!$B$70*12,D352&lt;=0),0,MIN(H352,MAX(0,D352-G352)))</f>
        <v>0</v>
      </c>
    </row>
    <row r="353" spans="1:10" x14ac:dyDescent="0.25">
      <c r="A353">
        <v>350</v>
      </c>
      <c r="B353">
        <f t="shared" si="5"/>
        <v>30</v>
      </c>
      <c r="C353" s="28">
        <f>IF(A353&gt;'Immobilien-Kalkulation'!$B$70*12,0,IF(AND('Immobilien-Kalkulation'!$B$72=1,B353&gt;'Immobilien-Kalkulation'!$B$69),'Immobilien-Kalkulation'!$B$73,'Immobilien-Kalkulation'!$B$65))</f>
        <v>3.5000000000000003E-2</v>
      </c>
      <c r="D353" s="53">
        <f>IF(A353&gt;'Immobilien-Kalkulation'!$B$70*12,0,I352)</f>
        <v>15457.740414975879</v>
      </c>
      <c r="E353" s="53">
        <f>IF(OR(A353&gt;'Immobilien-Kalkulation'!$B$70*12,D353&lt;=0),0,IF(AND('Immobilien-Kalkulation'!$B$72=1,B353&gt;'Immobilien-Kalkulation'!$B$69),MIN(D353*C353/12+'Immobilien-Kalkulation'!$B$74/12,D353*(1+C353/12)),MIN('Immobilien-Kalkulation'!$B$67,D353*(1+C353/12))))</f>
        <v>1429.9603560928113</v>
      </c>
      <c r="F353" s="53">
        <f>IF(OR(A353&gt;'Immobilien-Kalkulation'!$B$70*12,D353&lt;=0),0,D353*C353/12)</f>
        <v>45.085076210346323</v>
      </c>
      <c r="G353" s="53">
        <f>IF(OR(A353&gt;'Immobilien-Kalkulation'!$B$70*12,D353&lt;=0),0,MAX(0,MIN(D353,E353-F353)))</f>
        <v>1384.8752798824648</v>
      </c>
      <c r="H353" s="95">
        <v>0</v>
      </c>
      <c r="I353" s="53">
        <f>IF(A353&gt;'Immobilien-Kalkulation'!$B$70*12,0,MAX(0,D353-G353-J353))</f>
        <v>14072.865135093414</v>
      </c>
      <c r="J353" s="53">
        <f>IF(OR(A353&gt;'Immobilien-Kalkulation'!$B$70*12,D353&lt;=0),0,MIN(H353,MAX(0,D353-G353)))</f>
        <v>0</v>
      </c>
    </row>
    <row r="354" spans="1:10" x14ac:dyDescent="0.25">
      <c r="A354">
        <v>351</v>
      </c>
      <c r="B354">
        <f t="shared" si="5"/>
        <v>30</v>
      </c>
      <c r="C354" s="28">
        <f>IF(A354&gt;'Immobilien-Kalkulation'!$B$70*12,0,IF(AND('Immobilien-Kalkulation'!$B$72=1,B354&gt;'Immobilien-Kalkulation'!$B$69),'Immobilien-Kalkulation'!$B$73,'Immobilien-Kalkulation'!$B$65))</f>
        <v>3.5000000000000003E-2</v>
      </c>
      <c r="D354" s="53">
        <f>IF(A354&gt;'Immobilien-Kalkulation'!$B$70*12,0,I353)</f>
        <v>14072.865135093414</v>
      </c>
      <c r="E354" s="53">
        <f>IF(OR(A354&gt;'Immobilien-Kalkulation'!$B$70*12,D354&lt;=0),0,IF(AND('Immobilien-Kalkulation'!$B$72=1,B354&gt;'Immobilien-Kalkulation'!$B$69),MIN(D354*C354/12+'Immobilien-Kalkulation'!$B$74/12,D354*(1+C354/12)),MIN('Immobilien-Kalkulation'!$B$67,D354*(1+C354/12))))</f>
        <v>1429.9603560928113</v>
      </c>
      <c r="F354" s="53">
        <f>IF(OR(A354&gt;'Immobilien-Kalkulation'!$B$70*12,D354&lt;=0),0,D354*C354/12)</f>
        <v>41.045856644022464</v>
      </c>
      <c r="G354" s="53">
        <f>IF(OR(A354&gt;'Immobilien-Kalkulation'!$B$70*12,D354&lt;=0),0,MAX(0,MIN(D354,E354-F354)))</f>
        <v>1388.9144994487888</v>
      </c>
      <c r="H354" s="95">
        <v>0</v>
      </c>
      <c r="I354" s="53">
        <f>IF(A354&gt;'Immobilien-Kalkulation'!$B$70*12,0,MAX(0,D354-G354-J354))</f>
        <v>12683.950635644625</v>
      </c>
      <c r="J354" s="53">
        <f>IF(OR(A354&gt;'Immobilien-Kalkulation'!$B$70*12,D354&lt;=0),0,MIN(H354,MAX(0,D354-G354)))</f>
        <v>0</v>
      </c>
    </row>
    <row r="355" spans="1:10" x14ac:dyDescent="0.25">
      <c r="A355">
        <v>352</v>
      </c>
      <c r="B355">
        <f t="shared" si="5"/>
        <v>30</v>
      </c>
      <c r="C355" s="28">
        <f>IF(A355&gt;'Immobilien-Kalkulation'!$B$70*12,0,IF(AND('Immobilien-Kalkulation'!$B$72=1,B355&gt;'Immobilien-Kalkulation'!$B$69),'Immobilien-Kalkulation'!$B$73,'Immobilien-Kalkulation'!$B$65))</f>
        <v>3.5000000000000003E-2</v>
      </c>
      <c r="D355" s="53">
        <f>IF(A355&gt;'Immobilien-Kalkulation'!$B$70*12,0,I354)</f>
        <v>12683.950635644625</v>
      </c>
      <c r="E355" s="53">
        <f>IF(OR(A355&gt;'Immobilien-Kalkulation'!$B$70*12,D355&lt;=0),0,IF(AND('Immobilien-Kalkulation'!$B$72=1,B355&gt;'Immobilien-Kalkulation'!$B$69),MIN(D355*C355/12+'Immobilien-Kalkulation'!$B$74/12,D355*(1+C355/12)),MIN('Immobilien-Kalkulation'!$B$67,D355*(1+C355/12))))</f>
        <v>1429.9603560928113</v>
      </c>
      <c r="F355" s="53">
        <f>IF(OR(A355&gt;'Immobilien-Kalkulation'!$B$70*12,D355&lt;=0),0,D355*C355/12)</f>
        <v>36.994856020630159</v>
      </c>
      <c r="G355" s="53">
        <f>IF(OR(A355&gt;'Immobilien-Kalkulation'!$B$70*12,D355&lt;=0),0,MAX(0,MIN(D355,E355-F355)))</f>
        <v>1392.9655000721812</v>
      </c>
      <c r="H355" s="95">
        <v>0</v>
      </c>
      <c r="I355" s="53">
        <f>IF(A355&gt;'Immobilien-Kalkulation'!$B$70*12,0,MAX(0,D355-G355-J355))</f>
        <v>11290.985135572444</v>
      </c>
      <c r="J355" s="53">
        <f>IF(OR(A355&gt;'Immobilien-Kalkulation'!$B$70*12,D355&lt;=0),0,MIN(H355,MAX(0,D355-G355)))</f>
        <v>0</v>
      </c>
    </row>
    <row r="356" spans="1:10" x14ac:dyDescent="0.25">
      <c r="A356">
        <v>353</v>
      </c>
      <c r="B356">
        <f t="shared" si="5"/>
        <v>30</v>
      </c>
      <c r="C356" s="28">
        <f>IF(A356&gt;'Immobilien-Kalkulation'!$B$70*12,0,IF(AND('Immobilien-Kalkulation'!$B$72=1,B356&gt;'Immobilien-Kalkulation'!$B$69),'Immobilien-Kalkulation'!$B$73,'Immobilien-Kalkulation'!$B$65))</f>
        <v>3.5000000000000003E-2</v>
      </c>
      <c r="D356" s="53">
        <f>IF(A356&gt;'Immobilien-Kalkulation'!$B$70*12,0,I355)</f>
        <v>11290.985135572444</v>
      </c>
      <c r="E356" s="53">
        <f>IF(OR(A356&gt;'Immobilien-Kalkulation'!$B$70*12,D356&lt;=0),0,IF(AND('Immobilien-Kalkulation'!$B$72=1,B356&gt;'Immobilien-Kalkulation'!$B$69),MIN(D356*C356/12+'Immobilien-Kalkulation'!$B$74/12,D356*(1+C356/12)),MIN('Immobilien-Kalkulation'!$B$67,D356*(1+C356/12))))</f>
        <v>1429.9603560928113</v>
      </c>
      <c r="F356" s="53">
        <f>IF(OR(A356&gt;'Immobilien-Kalkulation'!$B$70*12,D356&lt;=0),0,D356*C356/12)</f>
        <v>32.932039978752961</v>
      </c>
      <c r="G356" s="53">
        <f>IF(OR(A356&gt;'Immobilien-Kalkulation'!$B$70*12,D356&lt;=0),0,MAX(0,MIN(D356,E356-F356)))</f>
        <v>1397.0283161140583</v>
      </c>
      <c r="H356" s="95">
        <v>0</v>
      </c>
      <c r="I356" s="53">
        <f>IF(A356&gt;'Immobilien-Kalkulation'!$B$70*12,0,MAX(0,D356-G356-J356))</f>
        <v>9893.9568194583862</v>
      </c>
      <c r="J356" s="53">
        <f>IF(OR(A356&gt;'Immobilien-Kalkulation'!$B$70*12,D356&lt;=0),0,MIN(H356,MAX(0,D356-G356)))</f>
        <v>0</v>
      </c>
    </row>
    <row r="357" spans="1:10" x14ac:dyDescent="0.25">
      <c r="A357">
        <v>354</v>
      </c>
      <c r="B357">
        <f t="shared" si="5"/>
        <v>30</v>
      </c>
      <c r="C357" s="28">
        <f>IF(A357&gt;'Immobilien-Kalkulation'!$B$70*12,0,IF(AND('Immobilien-Kalkulation'!$B$72=1,B357&gt;'Immobilien-Kalkulation'!$B$69),'Immobilien-Kalkulation'!$B$73,'Immobilien-Kalkulation'!$B$65))</f>
        <v>3.5000000000000003E-2</v>
      </c>
      <c r="D357" s="53">
        <f>IF(A357&gt;'Immobilien-Kalkulation'!$B$70*12,0,I356)</f>
        <v>9893.9568194583862</v>
      </c>
      <c r="E357" s="53">
        <f>IF(OR(A357&gt;'Immobilien-Kalkulation'!$B$70*12,D357&lt;=0),0,IF(AND('Immobilien-Kalkulation'!$B$72=1,B357&gt;'Immobilien-Kalkulation'!$B$69),MIN(D357*C357/12+'Immobilien-Kalkulation'!$B$74/12,D357*(1+C357/12)),MIN('Immobilien-Kalkulation'!$B$67,D357*(1+C357/12))))</f>
        <v>1429.9603560928113</v>
      </c>
      <c r="F357" s="53">
        <f>IF(OR(A357&gt;'Immobilien-Kalkulation'!$B$70*12,D357&lt;=0),0,D357*C357/12)</f>
        <v>28.857374056753628</v>
      </c>
      <c r="G357" s="53">
        <f>IF(OR(A357&gt;'Immobilien-Kalkulation'!$B$70*12,D357&lt;=0),0,MAX(0,MIN(D357,E357-F357)))</f>
        <v>1401.1029820360577</v>
      </c>
      <c r="H357" s="95">
        <v>0</v>
      </c>
      <c r="I357" s="53">
        <f>IF(A357&gt;'Immobilien-Kalkulation'!$B$70*12,0,MAX(0,D357-G357-J357))</f>
        <v>8492.8538374223281</v>
      </c>
      <c r="J357" s="53">
        <f>IF(OR(A357&gt;'Immobilien-Kalkulation'!$B$70*12,D357&lt;=0),0,MIN(H357,MAX(0,D357-G357)))</f>
        <v>0</v>
      </c>
    </row>
    <row r="358" spans="1:10" x14ac:dyDescent="0.25">
      <c r="A358">
        <v>355</v>
      </c>
      <c r="B358">
        <f t="shared" si="5"/>
        <v>30</v>
      </c>
      <c r="C358" s="28">
        <f>IF(A358&gt;'Immobilien-Kalkulation'!$B$70*12,0,IF(AND('Immobilien-Kalkulation'!$B$72=1,B358&gt;'Immobilien-Kalkulation'!$B$69),'Immobilien-Kalkulation'!$B$73,'Immobilien-Kalkulation'!$B$65))</f>
        <v>3.5000000000000003E-2</v>
      </c>
      <c r="D358" s="53">
        <f>IF(A358&gt;'Immobilien-Kalkulation'!$B$70*12,0,I357)</f>
        <v>8492.8538374223281</v>
      </c>
      <c r="E358" s="53">
        <f>IF(OR(A358&gt;'Immobilien-Kalkulation'!$B$70*12,D358&lt;=0),0,IF(AND('Immobilien-Kalkulation'!$B$72=1,B358&gt;'Immobilien-Kalkulation'!$B$69),MIN(D358*C358/12+'Immobilien-Kalkulation'!$B$74/12,D358*(1+C358/12)),MIN('Immobilien-Kalkulation'!$B$67,D358*(1+C358/12))))</f>
        <v>1429.9603560928113</v>
      </c>
      <c r="F358" s="53">
        <f>IF(OR(A358&gt;'Immobilien-Kalkulation'!$B$70*12,D358&lt;=0),0,D358*C358/12)</f>
        <v>24.770823692481795</v>
      </c>
      <c r="G358" s="53">
        <f>IF(OR(A358&gt;'Immobilien-Kalkulation'!$B$70*12,D358&lt;=0),0,MAX(0,MIN(D358,E358-F358)))</f>
        <v>1405.1895324003294</v>
      </c>
      <c r="H358" s="95">
        <v>0</v>
      </c>
      <c r="I358" s="53">
        <f>IF(A358&gt;'Immobilien-Kalkulation'!$B$70*12,0,MAX(0,D358-G358-J358))</f>
        <v>7087.6643050219991</v>
      </c>
      <c r="J358" s="53">
        <f>IF(OR(A358&gt;'Immobilien-Kalkulation'!$B$70*12,D358&lt;=0),0,MIN(H358,MAX(0,D358-G358)))</f>
        <v>0</v>
      </c>
    </row>
    <row r="359" spans="1:10" x14ac:dyDescent="0.25">
      <c r="A359">
        <v>356</v>
      </c>
      <c r="B359">
        <f t="shared" si="5"/>
        <v>30</v>
      </c>
      <c r="C359" s="28">
        <f>IF(A359&gt;'Immobilien-Kalkulation'!$B$70*12,0,IF(AND('Immobilien-Kalkulation'!$B$72=1,B359&gt;'Immobilien-Kalkulation'!$B$69),'Immobilien-Kalkulation'!$B$73,'Immobilien-Kalkulation'!$B$65))</f>
        <v>3.5000000000000003E-2</v>
      </c>
      <c r="D359" s="53">
        <f>IF(A359&gt;'Immobilien-Kalkulation'!$B$70*12,0,I358)</f>
        <v>7087.6643050219991</v>
      </c>
      <c r="E359" s="53">
        <f>IF(OR(A359&gt;'Immobilien-Kalkulation'!$B$70*12,D359&lt;=0),0,IF(AND('Immobilien-Kalkulation'!$B$72=1,B359&gt;'Immobilien-Kalkulation'!$B$69),MIN(D359*C359/12+'Immobilien-Kalkulation'!$B$74/12,D359*(1+C359/12)),MIN('Immobilien-Kalkulation'!$B$67,D359*(1+C359/12))))</f>
        <v>1429.9603560928113</v>
      </c>
      <c r="F359" s="53">
        <f>IF(OR(A359&gt;'Immobilien-Kalkulation'!$B$70*12,D359&lt;=0),0,D359*C359/12)</f>
        <v>20.672354222980832</v>
      </c>
      <c r="G359" s="53">
        <f>IF(OR(A359&gt;'Immobilien-Kalkulation'!$B$70*12,D359&lt;=0),0,MAX(0,MIN(D359,E359-F359)))</f>
        <v>1409.2880018698304</v>
      </c>
      <c r="H359" s="95">
        <v>0</v>
      </c>
      <c r="I359" s="53">
        <f>IF(A359&gt;'Immobilien-Kalkulation'!$B$70*12,0,MAX(0,D359-G359-J359))</f>
        <v>5678.3763031521685</v>
      </c>
      <c r="J359" s="53">
        <f>IF(OR(A359&gt;'Immobilien-Kalkulation'!$B$70*12,D359&lt;=0),0,MIN(H359,MAX(0,D359-G359)))</f>
        <v>0</v>
      </c>
    </row>
    <row r="360" spans="1:10" x14ac:dyDescent="0.25">
      <c r="A360">
        <v>357</v>
      </c>
      <c r="B360">
        <f t="shared" si="5"/>
        <v>30</v>
      </c>
      <c r="C360" s="28">
        <f>IF(A360&gt;'Immobilien-Kalkulation'!$B$70*12,0,IF(AND('Immobilien-Kalkulation'!$B$72=1,B360&gt;'Immobilien-Kalkulation'!$B$69),'Immobilien-Kalkulation'!$B$73,'Immobilien-Kalkulation'!$B$65))</f>
        <v>3.5000000000000003E-2</v>
      </c>
      <c r="D360" s="53">
        <f>IF(A360&gt;'Immobilien-Kalkulation'!$B$70*12,0,I359)</f>
        <v>5678.3763031521685</v>
      </c>
      <c r="E360" s="53">
        <f>IF(OR(A360&gt;'Immobilien-Kalkulation'!$B$70*12,D360&lt;=0),0,IF(AND('Immobilien-Kalkulation'!$B$72=1,B360&gt;'Immobilien-Kalkulation'!$B$69),MIN(D360*C360/12+'Immobilien-Kalkulation'!$B$74/12,D360*(1+C360/12)),MIN('Immobilien-Kalkulation'!$B$67,D360*(1+C360/12))))</f>
        <v>1429.9603560928113</v>
      </c>
      <c r="F360" s="53">
        <f>IF(OR(A360&gt;'Immobilien-Kalkulation'!$B$70*12,D360&lt;=0),0,D360*C360/12)</f>
        <v>16.561930884193824</v>
      </c>
      <c r="G360" s="53">
        <f>IF(OR(A360&gt;'Immobilien-Kalkulation'!$B$70*12,D360&lt;=0),0,MAX(0,MIN(D360,E360-F360)))</f>
        <v>1413.3984252086175</v>
      </c>
      <c r="H360" s="95">
        <v>0</v>
      </c>
      <c r="I360" s="53">
        <f>IF(A360&gt;'Immobilien-Kalkulation'!$B$70*12,0,MAX(0,D360-G360-J360))</f>
        <v>4264.977877943551</v>
      </c>
      <c r="J360" s="53">
        <f>IF(OR(A360&gt;'Immobilien-Kalkulation'!$B$70*12,D360&lt;=0),0,MIN(H360,MAX(0,D360-G360)))</f>
        <v>0</v>
      </c>
    </row>
    <row r="361" spans="1:10" x14ac:dyDescent="0.25">
      <c r="A361">
        <v>358</v>
      </c>
      <c r="B361">
        <f t="shared" si="5"/>
        <v>30</v>
      </c>
      <c r="C361" s="28">
        <f>IF(A361&gt;'Immobilien-Kalkulation'!$B$70*12,0,IF(AND('Immobilien-Kalkulation'!$B$72=1,B361&gt;'Immobilien-Kalkulation'!$B$69),'Immobilien-Kalkulation'!$B$73,'Immobilien-Kalkulation'!$B$65))</f>
        <v>3.5000000000000003E-2</v>
      </c>
      <c r="D361" s="53">
        <f>IF(A361&gt;'Immobilien-Kalkulation'!$B$70*12,0,I360)</f>
        <v>4264.977877943551</v>
      </c>
      <c r="E361" s="53">
        <f>IF(OR(A361&gt;'Immobilien-Kalkulation'!$B$70*12,D361&lt;=0),0,IF(AND('Immobilien-Kalkulation'!$B$72=1,B361&gt;'Immobilien-Kalkulation'!$B$69),MIN(D361*C361/12+'Immobilien-Kalkulation'!$B$74/12,D361*(1+C361/12)),MIN('Immobilien-Kalkulation'!$B$67,D361*(1+C361/12))))</f>
        <v>1429.9603560928113</v>
      </c>
      <c r="F361" s="53">
        <f>IF(OR(A361&gt;'Immobilien-Kalkulation'!$B$70*12,D361&lt;=0),0,D361*C361/12)</f>
        <v>12.439518810668693</v>
      </c>
      <c r="G361" s="53">
        <f>IF(OR(A361&gt;'Immobilien-Kalkulation'!$B$70*12,D361&lt;=0),0,MAX(0,MIN(D361,E361-F361)))</f>
        <v>1417.5208372821426</v>
      </c>
      <c r="H361" s="95">
        <v>0</v>
      </c>
      <c r="I361" s="53">
        <f>IF(A361&gt;'Immobilien-Kalkulation'!$B$70*12,0,MAX(0,D361-G361-J361))</f>
        <v>2847.4570406614084</v>
      </c>
      <c r="J361" s="53">
        <f>IF(OR(A361&gt;'Immobilien-Kalkulation'!$B$70*12,D361&lt;=0),0,MIN(H361,MAX(0,D361-G361)))</f>
        <v>0</v>
      </c>
    </row>
    <row r="362" spans="1:10" x14ac:dyDescent="0.25">
      <c r="A362">
        <v>359</v>
      </c>
      <c r="B362">
        <f t="shared" si="5"/>
        <v>30</v>
      </c>
      <c r="C362" s="28">
        <f>IF(A362&gt;'Immobilien-Kalkulation'!$B$70*12,0,IF(AND('Immobilien-Kalkulation'!$B$72=1,B362&gt;'Immobilien-Kalkulation'!$B$69),'Immobilien-Kalkulation'!$B$73,'Immobilien-Kalkulation'!$B$65))</f>
        <v>3.5000000000000003E-2</v>
      </c>
      <c r="D362" s="53">
        <f>IF(A362&gt;'Immobilien-Kalkulation'!$B$70*12,0,I361)</f>
        <v>2847.4570406614084</v>
      </c>
      <c r="E362" s="53">
        <f>IF(OR(A362&gt;'Immobilien-Kalkulation'!$B$70*12,D362&lt;=0),0,IF(AND('Immobilien-Kalkulation'!$B$72=1,B362&gt;'Immobilien-Kalkulation'!$B$69),MIN(D362*C362/12+'Immobilien-Kalkulation'!$B$74/12,D362*(1+C362/12)),MIN('Immobilien-Kalkulation'!$B$67,D362*(1+C362/12))))</f>
        <v>1429.9603560928113</v>
      </c>
      <c r="F362" s="53">
        <f>IF(OR(A362&gt;'Immobilien-Kalkulation'!$B$70*12,D362&lt;=0),0,D362*C362/12)</f>
        <v>8.3050830352624416</v>
      </c>
      <c r="G362" s="53">
        <f>IF(OR(A362&gt;'Immobilien-Kalkulation'!$B$70*12,D362&lt;=0),0,MAX(0,MIN(D362,E362-F362)))</f>
        <v>1421.6552730575488</v>
      </c>
      <c r="H362" s="95">
        <v>0</v>
      </c>
      <c r="I362" s="53">
        <f>IF(A362&gt;'Immobilien-Kalkulation'!$B$70*12,0,MAX(0,D362-G362-J362))</f>
        <v>1425.8017676038596</v>
      </c>
      <c r="J362" s="53">
        <f>IF(OR(A362&gt;'Immobilien-Kalkulation'!$B$70*12,D362&lt;=0),0,MIN(H362,MAX(0,D362-G362)))</f>
        <v>0</v>
      </c>
    </row>
    <row r="363" spans="1:10" x14ac:dyDescent="0.25">
      <c r="A363">
        <v>360</v>
      </c>
      <c r="B363">
        <f t="shared" si="5"/>
        <v>30</v>
      </c>
      <c r="C363" s="28">
        <f>IF(A363&gt;'Immobilien-Kalkulation'!$B$70*12,0,IF(AND('Immobilien-Kalkulation'!$B$72=1,B363&gt;'Immobilien-Kalkulation'!$B$69),'Immobilien-Kalkulation'!$B$73,'Immobilien-Kalkulation'!$B$65))</f>
        <v>3.5000000000000003E-2</v>
      </c>
      <c r="D363" s="53">
        <f>IF(A363&gt;'Immobilien-Kalkulation'!$B$70*12,0,I362)</f>
        <v>1425.8017676038596</v>
      </c>
      <c r="E363" s="53">
        <f>IF(OR(A363&gt;'Immobilien-Kalkulation'!$B$70*12,D363&lt;=0),0,IF(AND('Immobilien-Kalkulation'!$B$72=1,B363&gt;'Immobilien-Kalkulation'!$B$69),MIN(D363*C363/12+'Immobilien-Kalkulation'!$B$74/12,D363*(1+C363/12)),MIN('Immobilien-Kalkulation'!$B$67,D363*(1+C363/12))))</f>
        <v>1429.9603560927042</v>
      </c>
      <c r="F363" s="53">
        <f>IF(OR(A363&gt;'Immobilien-Kalkulation'!$B$70*12,D363&lt;=0),0,D363*C363/12)</f>
        <v>4.1585884888445905</v>
      </c>
      <c r="G363" s="53">
        <f>IF(OR(A363&gt;'Immobilien-Kalkulation'!$B$70*12,D363&lt;=0),0,MAX(0,MIN(D363,E363-F363)))</f>
        <v>1425.8017676038596</v>
      </c>
      <c r="H363" s="95">
        <v>0</v>
      </c>
      <c r="I363" s="53">
        <f>IF(A363&gt;'Immobilien-Kalkulation'!$B$70*12,0,MAX(0,D363-G363-J363))</f>
        <v>0</v>
      </c>
      <c r="J363" s="53">
        <f>IF(OR(A363&gt;'Immobilien-Kalkulation'!$B$70*12,D363&lt;=0),0,MIN(H363,MAX(0,D363-G363)))</f>
        <v>0</v>
      </c>
    </row>
    <row r="364" spans="1:10" x14ac:dyDescent="0.25">
      <c r="A364">
        <v>361</v>
      </c>
      <c r="B364">
        <f t="shared" si="5"/>
        <v>31</v>
      </c>
      <c r="C364" s="28">
        <f>IF(A364&gt;'Immobilien-Kalkulation'!$B$70*12,0,IF(AND('Immobilien-Kalkulation'!$B$72=1,B364&gt;'Immobilien-Kalkulation'!$B$69),'Immobilien-Kalkulation'!$B$73,'Immobilien-Kalkulation'!$B$65))</f>
        <v>0</v>
      </c>
      <c r="D364" s="53">
        <f>IF(A364&gt;'Immobilien-Kalkulation'!$B$70*12,0,I363)</f>
        <v>0</v>
      </c>
      <c r="E364" s="53">
        <f>IF(OR(A364&gt;'Immobilien-Kalkulation'!$B$70*12,D364&lt;=0),0,IF(AND('Immobilien-Kalkulation'!$B$72=1,B364&gt;'Immobilien-Kalkulation'!$B$69),MIN(D364*C364/12+'Immobilien-Kalkulation'!$B$74/12,D364*(1+C364/12)),MIN('Immobilien-Kalkulation'!$B$67,D364*(1+C364/12))))</f>
        <v>0</v>
      </c>
      <c r="F364" s="53">
        <f>IF(OR(A364&gt;'Immobilien-Kalkulation'!$B$70*12,D364&lt;=0),0,D364*C364/12)</f>
        <v>0</v>
      </c>
      <c r="G364" s="53">
        <f>IF(OR(A364&gt;'Immobilien-Kalkulation'!$B$70*12,D364&lt;=0),0,MAX(0,MIN(D364,E364-F364)))</f>
        <v>0</v>
      </c>
      <c r="H364" s="95">
        <v>0</v>
      </c>
      <c r="I364" s="53">
        <f>IF(A364&gt;'Immobilien-Kalkulation'!$B$70*12,0,MAX(0,D364-G364-J364))</f>
        <v>0</v>
      </c>
      <c r="J364" s="53">
        <f>IF(OR(A364&gt;'Immobilien-Kalkulation'!$B$70*12,D364&lt;=0),0,MIN(H364,MAX(0,D364-G364)))</f>
        <v>0</v>
      </c>
    </row>
    <row r="365" spans="1:10" x14ac:dyDescent="0.25">
      <c r="A365">
        <v>362</v>
      </c>
      <c r="B365">
        <f t="shared" si="5"/>
        <v>31</v>
      </c>
      <c r="C365" s="28">
        <f>IF(A365&gt;'Immobilien-Kalkulation'!$B$70*12,0,IF(AND('Immobilien-Kalkulation'!$B$72=1,B365&gt;'Immobilien-Kalkulation'!$B$69),'Immobilien-Kalkulation'!$B$73,'Immobilien-Kalkulation'!$B$65))</f>
        <v>0</v>
      </c>
      <c r="D365" s="53">
        <f>IF(A365&gt;'Immobilien-Kalkulation'!$B$70*12,0,I364)</f>
        <v>0</v>
      </c>
      <c r="E365" s="53">
        <f>IF(OR(A365&gt;'Immobilien-Kalkulation'!$B$70*12,D365&lt;=0),0,IF(AND('Immobilien-Kalkulation'!$B$72=1,B365&gt;'Immobilien-Kalkulation'!$B$69),MIN(D365*C365/12+'Immobilien-Kalkulation'!$B$74/12,D365*(1+C365/12)),MIN('Immobilien-Kalkulation'!$B$67,D365*(1+C365/12))))</f>
        <v>0</v>
      </c>
      <c r="F365" s="53">
        <f>IF(OR(A365&gt;'Immobilien-Kalkulation'!$B$70*12,D365&lt;=0),0,D365*C365/12)</f>
        <v>0</v>
      </c>
      <c r="G365" s="53">
        <f>IF(OR(A365&gt;'Immobilien-Kalkulation'!$B$70*12,D365&lt;=0),0,MAX(0,MIN(D365,E365-F365)))</f>
        <v>0</v>
      </c>
      <c r="H365" s="95">
        <v>0</v>
      </c>
      <c r="I365" s="53">
        <f>IF(A365&gt;'Immobilien-Kalkulation'!$B$70*12,0,MAX(0,D365-G365-J365))</f>
        <v>0</v>
      </c>
      <c r="J365" s="53">
        <f>IF(OR(A365&gt;'Immobilien-Kalkulation'!$B$70*12,D365&lt;=0),0,MIN(H365,MAX(0,D365-G365)))</f>
        <v>0</v>
      </c>
    </row>
    <row r="366" spans="1:10" x14ac:dyDescent="0.25">
      <c r="A366">
        <v>363</v>
      </c>
      <c r="B366">
        <f t="shared" si="5"/>
        <v>31</v>
      </c>
      <c r="C366" s="28">
        <f>IF(A366&gt;'Immobilien-Kalkulation'!$B$70*12,0,IF(AND('Immobilien-Kalkulation'!$B$72=1,B366&gt;'Immobilien-Kalkulation'!$B$69),'Immobilien-Kalkulation'!$B$73,'Immobilien-Kalkulation'!$B$65))</f>
        <v>0</v>
      </c>
      <c r="D366" s="53">
        <f>IF(A366&gt;'Immobilien-Kalkulation'!$B$70*12,0,I365)</f>
        <v>0</v>
      </c>
      <c r="E366" s="53">
        <f>IF(OR(A366&gt;'Immobilien-Kalkulation'!$B$70*12,D366&lt;=0),0,IF(AND('Immobilien-Kalkulation'!$B$72=1,B366&gt;'Immobilien-Kalkulation'!$B$69),MIN(D366*C366/12+'Immobilien-Kalkulation'!$B$74/12,D366*(1+C366/12)),MIN('Immobilien-Kalkulation'!$B$67,D366*(1+C366/12))))</f>
        <v>0</v>
      </c>
      <c r="F366" s="53">
        <f>IF(OR(A366&gt;'Immobilien-Kalkulation'!$B$70*12,D366&lt;=0),0,D366*C366/12)</f>
        <v>0</v>
      </c>
      <c r="G366" s="53">
        <f>IF(OR(A366&gt;'Immobilien-Kalkulation'!$B$70*12,D366&lt;=0),0,MAX(0,MIN(D366,E366-F366)))</f>
        <v>0</v>
      </c>
      <c r="H366" s="95">
        <v>0</v>
      </c>
      <c r="I366" s="53">
        <f>IF(A366&gt;'Immobilien-Kalkulation'!$B$70*12,0,MAX(0,D366-G366-J366))</f>
        <v>0</v>
      </c>
      <c r="J366" s="53">
        <f>IF(OR(A366&gt;'Immobilien-Kalkulation'!$B$70*12,D366&lt;=0),0,MIN(H366,MAX(0,D366-G366)))</f>
        <v>0</v>
      </c>
    </row>
    <row r="367" spans="1:10" x14ac:dyDescent="0.25">
      <c r="A367">
        <v>364</v>
      </c>
      <c r="B367">
        <f t="shared" si="5"/>
        <v>31</v>
      </c>
      <c r="C367" s="28">
        <f>IF(A367&gt;'Immobilien-Kalkulation'!$B$70*12,0,IF(AND('Immobilien-Kalkulation'!$B$72=1,B367&gt;'Immobilien-Kalkulation'!$B$69),'Immobilien-Kalkulation'!$B$73,'Immobilien-Kalkulation'!$B$65))</f>
        <v>0</v>
      </c>
      <c r="D367" s="53">
        <f>IF(A367&gt;'Immobilien-Kalkulation'!$B$70*12,0,I366)</f>
        <v>0</v>
      </c>
      <c r="E367" s="53">
        <f>IF(OR(A367&gt;'Immobilien-Kalkulation'!$B$70*12,D367&lt;=0),0,IF(AND('Immobilien-Kalkulation'!$B$72=1,B367&gt;'Immobilien-Kalkulation'!$B$69),MIN(D367*C367/12+'Immobilien-Kalkulation'!$B$74/12,D367*(1+C367/12)),MIN('Immobilien-Kalkulation'!$B$67,D367*(1+C367/12))))</f>
        <v>0</v>
      </c>
      <c r="F367" s="53">
        <f>IF(OR(A367&gt;'Immobilien-Kalkulation'!$B$70*12,D367&lt;=0),0,D367*C367/12)</f>
        <v>0</v>
      </c>
      <c r="G367" s="53">
        <f>IF(OR(A367&gt;'Immobilien-Kalkulation'!$B$70*12,D367&lt;=0),0,MAX(0,MIN(D367,E367-F367)))</f>
        <v>0</v>
      </c>
      <c r="H367" s="95">
        <v>0</v>
      </c>
      <c r="I367" s="53">
        <f>IF(A367&gt;'Immobilien-Kalkulation'!$B$70*12,0,MAX(0,D367-G367-J367))</f>
        <v>0</v>
      </c>
      <c r="J367" s="53">
        <f>IF(OR(A367&gt;'Immobilien-Kalkulation'!$B$70*12,D367&lt;=0),0,MIN(H367,MAX(0,D367-G367)))</f>
        <v>0</v>
      </c>
    </row>
    <row r="368" spans="1:10" x14ac:dyDescent="0.25">
      <c r="A368">
        <v>365</v>
      </c>
      <c r="B368">
        <f t="shared" si="5"/>
        <v>31</v>
      </c>
      <c r="C368" s="28">
        <f>IF(A368&gt;'Immobilien-Kalkulation'!$B$70*12,0,IF(AND('Immobilien-Kalkulation'!$B$72=1,B368&gt;'Immobilien-Kalkulation'!$B$69),'Immobilien-Kalkulation'!$B$73,'Immobilien-Kalkulation'!$B$65))</f>
        <v>0</v>
      </c>
      <c r="D368" s="53">
        <f>IF(A368&gt;'Immobilien-Kalkulation'!$B$70*12,0,I367)</f>
        <v>0</v>
      </c>
      <c r="E368" s="53">
        <f>IF(OR(A368&gt;'Immobilien-Kalkulation'!$B$70*12,D368&lt;=0),0,IF(AND('Immobilien-Kalkulation'!$B$72=1,B368&gt;'Immobilien-Kalkulation'!$B$69),MIN(D368*C368/12+'Immobilien-Kalkulation'!$B$74/12,D368*(1+C368/12)),MIN('Immobilien-Kalkulation'!$B$67,D368*(1+C368/12))))</f>
        <v>0</v>
      </c>
      <c r="F368" s="53">
        <f>IF(OR(A368&gt;'Immobilien-Kalkulation'!$B$70*12,D368&lt;=0),0,D368*C368/12)</f>
        <v>0</v>
      </c>
      <c r="G368" s="53">
        <f>IF(OR(A368&gt;'Immobilien-Kalkulation'!$B$70*12,D368&lt;=0),0,MAX(0,MIN(D368,E368-F368)))</f>
        <v>0</v>
      </c>
      <c r="H368" s="95">
        <v>0</v>
      </c>
      <c r="I368" s="53">
        <f>IF(A368&gt;'Immobilien-Kalkulation'!$B$70*12,0,MAX(0,D368-G368-J368))</f>
        <v>0</v>
      </c>
      <c r="J368" s="53">
        <f>IF(OR(A368&gt;'Immobilien-Kalkulation'!$B$70*12,D368&lt;=0),0,MIN(H368,MAX(0,D368-G368)))</f>
        <v>0</v>
      </c>
    </row>
    <row r="369" spans="1:10" x14ac:dyDescent="0.25">
      <c r="A369">
        <v>366</v>
      </c>
      <c r="B369">
        <f t="shared" si="5"/>
        <v>31</v>
      </c>
      <c r="C369" s="28">
        <f>IF(A369&gt;'Immobilien-Kalkulation'!$B$70*12,0,IF(AND('Immobilien-Kalkulation'!$B$72=1,B369&gt;'Immobilien-Kalkulation'!$B$69),'Immobilien-Kalkulation'!$B$73,'Immobilien-Kalkulation'!$B$65))</f>
        <v>0</v>
      </c>
      <c r="D369" s="53">
        <f>IF(A369&gt;'Immobilien-Kalkulation'!$B$70*12,0,I368)</f>
        <v>0</v>
      </c>
      <c r="E369" s="53">
        <f>IF(OR(A369&gt;'Immobilien-Kalkulation'!$B$70*12,D369&lt;=0),0,IF(AND('Immobilien-Kalkulation'!$B$72=1,B369&gt;'Immobilien-Kalkulation'!$B$69),MIN(D369*C369/12+'Immobilien-Kalkulation'!$B$74/12,D369*(1+C369/12)),MIN('Immobilien-Kalkulation'!$B$67,D369*(1+C369/12))))</f>
        <v>0</v>
      </c>
      <c r="F369" s="53">
        <f>IF(OR(A369&gt;'Immobilien-Kalkulation'!$B$70*12,D369&lt;=0),0,D369*C369/12)</f>
        <v>0</v>
      </c>
      <c r="G369" s="53">
        <f>IF(OR(A369&gt;'Immobilien-Kalkulation'!$B$70*12,D369&lt;=0),0,MAX(0,MIN(D369,E369-F369)))</f>
        <v>0</v>
      </c>
      <c r="H369" s="95">
        <v>0</v>
      </c>
      <c r="I369" s="53">
        <f>IF(A369&gt;'Immobilien-Kalkulation'!$B$70*12,0,MAX(0,D369-G369-J369))</f>
        <v>0</v>
      </c>
      <c r="J369" s="53">
        <f>IF(OR(A369&gt;'Immobilien-Kalkulation'!$B$70*12,D369&lt;=0),0,MIN(H369,MAX(0,D369-G369)))</f>
        <v>0</v>
      </c>
    </row>
    <row r="370" spans="1:10" x14ac:dyDescent="0.25">
      <c r="A370">
        <v>367</v>
      </c>
      <c r="B370">
        <f t="shared" si="5"/>
        <v>31</v>
      </c>
      <c r="C370" s="28">
        <f>IF(A370&gt;'Immobilien-Kalkulation'!$B$70*12,0,IF(AND('Immobilien-Kalkulation'!$B$72=1,B370&gt;'Immobilien-Kalkulation'!$B$69),'Immobilien-Kalkulation'!$B$73,'Immobilien-Kalkulation'!$B$65))</f>
        <v>0</v>
      </c>
      <c r="D370" s="53">
        <f>IF(A370&gt;'Immobilien-Kalkulation'!$B$70*12,0,I369)</f>
        <v>0</v>
      </c>
      <c r="E370" s="53">
        <f>IF(OR(A370&gt;'Immobilien-Kalkulation'!$B$70*12,D370&lt;=0),0,IF(AND('Immobilien-Kalkulation'!$B$72=1,B370&gt;'Immobilien-Kalkulation'!$B$69),MIN(D370*C370/12+'Immobilien-Kalkulation'!$B$74/12,D370*(1+C370/12)),MIN('Immobilien-Kalkulation'!$B$67,D370*(1+C370/12))))</f>
        <v>0</v>
      </c>
      <c r="F370" s="53">
        <f>IF(OR(A370&gt;'Immobilien-Kalkulation'!$B$70*12,D370&lt;=0),0,D370*C370/12)</f>
        <v>0</v>
      </c>
      <c r="G370" s="53">
        <f>IF(OR(A370&gt;'Immobilien-Kalkulation'!$B$70*12,D370&lt;=0),0,MAX(0,MIN(D370,E370-F370)))</f>
        <v>0</v>
      </c>
      <c r="H370" s="95">
        <v>0</v>
      </c>
      <c r="I370" s="53">
        <f>IF(A370&gt;'Immobilien-Kalkulation'!$B$70*12,0,MAX(0,D370-G370-J370))</f>
        <v>0</v>
      </c>
      <c r="J370" s="53">
        <f>IF(OR(A370&gt;'Immobilien-Kalkulation'!$B$70*12,D370&lt;=0),0,MIN(H370,MAX(0,D370-G370)))</f>
        <v>0</v>
      </c>
    </row>
    <row r="371" spans="1:10" x14ac:dyDescent="0.25">
      <c r="A371">
        <v>368</v>
      </c>
      <c r="B371">
        <f t="shared" si="5"/>
        <v>31</v>
      </c>
      <c r="C371" s="28">
        <f>IF(A371&gt;'Immobilien-Kalkulation'!$B$70*12,0,IF(AND('Immobilien-Kalkulation'!$B$72=1,B371&gt;'Immobilien-Kalkulation'!$B$69),'Immobilien-Kalkulation'!$B$73,'Immobilien-Kalkulation'!$B$65))</f>
        <v>0</v>
      </c>
      <c r="D371" s="53">
        <f>IF(A371&gt;'Immobilien-Kalkulation'!$B$70*12,0,I370)</f>
        <v>0</v>
      </c>
      <c r="E371" s="53">
        <f>IF(OR(A371&gt;'Immobilien-Kalkulation'!$B$70*12,D371&lt;=0),0,IF(AND('Immobilien-Kalkulation'!$B$72=1,B371&gt;'Immobilien-Kalkulation'!$B$69),MIN(D371*C371/12+'Immobilien-Kalkulation'!$B$74/12,D371*(1+C371/12)),MIN('Immobilien-Kalkulation'!$B$67,D371*(1+C371/12))))</f>
        <v>0</v>
      </c>
      <c r="F371" s="53">
        <f>IF(OR(A371&gt;'Immobilien-Kalkulation'!$B$70*12,D371&lt;=0),0,D371*C371/12)</f>
        <v>0</v>
      </c>
      <c r="G371" s="53">
        <f>IF(OR(A371&gt;'Immobilien-Kalkulation'!$B$70*12,D371&lt;=0),0,MAX(0,MIN(D371,E371-F371)))</f>
        <v>0</v>
      </c>
      <c r="H371" s="95">
        <v>0</v>
      </c>
      <c r="I371" s="53">
        <f>IF(A371&gt;'Immobilien-Kalkulation'!$B$70*12,0,MAX(0,D371-G371-J371))</f>
        <v>0</v>
      </c>
      <c r="J371" s="53">
        <f>IF(OR(A371&gt;'Immobilien-Kalkulation'!$B$70*12,D371&lt;=0),0,MIN(H371,MAX(0,D371-G371)))</f>
        <v>0</v>
      </c>
    </row>
    <row r="372" spans="1:10" x14ac:dyDescent="0.25">
      <c r="A372">
        <v>369</v>
      </c>
      <c r="B372">
        <f t="shared" si="5"/>
        <v>31</v>
      </c>
      <c r="C372" s="28">
        <f>IF(A372&gt;'Immobilien-Kalkulation'!$B$70*12,0,IF(AND('Immobilien-Kalkulation'!$B$72=1,B372&gt;'Immobilien-Kalkulation'!$B$69),'Immobilien-Kalkulation'!$B$73,'Immobilien-Kalkulation'!$B$65))</f>
        <v>0</v>
      </c>
      <c r="D372" s="53">
        <f>IF(A372&gt;'Immobilien-Kalkulation'!$B$70*12,0,I371)</f>
        <v>0</v>
      </c>
      <c r="E372" s="53">
        <f>IF(OR(A372&gt;'Immobilien-Kalkulation'!$B$70*12,D372&lt;=0),0,IF(AND('Immobilien-Kalkulation'!$B$72=1,B372&gt;'Immobilien-Kalkulation'!$B$69),MIN(D372*C372/12+'Immobilien-Kalkulation'!$B$74/12,D372*(1+C372/12)),MIN('Immobilien-Kalkulation'!$B$67,D372*(1+C372/12))))</f>
        <v>0</v>
      </c>
      <c r="F372" s="53">
        <f>IF(OR(A372&gt;'Immobilien-Kalkulation'!$B$70*12,D372&lt;=0),0,D372*C372/12)</f>
        <v>0</v>
      </c>
      <c r="G372" s="53">
        <f>IF(OR(A372&gt;'Immobilien-Kalkulation'!$B$70*12,D372&lt;=0),0,MAX(0,MIN(D372,E372-F372)))</f>
        <v>0</v>
      </c>
      <c r="H372" s="95">
        <v>0</v>
      </c>
      <c r="I372" s="53">
        <f>IF(A372&gt;'Immobilien-Kalkulation'!$B$70*12,0,MAX(0,D372-G372-J372))</f>
        <v>0</v>
      </c>
      <c r="J372" s="53">
        <f>IF(OR(A372&gt;'Immobilien-Kalkulation'!$B$70*12,D372&lt;=0),0,MIN(H372,MAX(0,D372-G372)))</f>
        <v>0</v>
      </c>
    </row>
    <row r="373" spans="1:10" x14ac:dyDescent="0.25">
      <c r="A373">
        <v>370</v>
      </c>
      <c r="B373">
        <f t="shared" si="5"/>
        <v>31</v>
      </c>
      <c r="C373" s="28">
        <f>IF(A373&gt;'Immobilien-Kalkulation'!$B$70*12,0,IF(AND('Immobilien-Kalkulation'!$B$72=1,B373&gt;'Immobilien-Kalkulation'!$B$69),'Immobilien-Kalkulation'!$B$73,'Immobilien-Kalkulation'!$B$65))</f>
        <v>0</v>
      </c>
      <c r="D373" s="53">
        <f>IF(A373&gt;'Immobilien-Kalkulation'!$B$70*12,0,I372)</f>
        <v>0</v>
      </c>
      <c r="E373" s="53">
        <f>IF(OR(A373&gt;'Immobilien-Kalkulation'!$B$70*12,D373&lt;=0),0,IF(AND('Immobilien-Kalkulation'!$B$72=1,B373&gt;'Immobilien-Kalkulation'!$B$69),MIN(D373*C373/12+'Immobilien-Kalkulation'!$B$74/12,D373*(1+C373/12)),MIN('Immobilien-Kalkulation'!$B$67,D373*(1+C373/12))))</f>
        <v>0</v>
      </c>
      <c r="F373" s="53">
        <f>IF(OR(A373&gt;'Immobilien-Kalkulation'!$B$70*12,D373&lt;=0),0,D373*C373/12)</f>
        <v>0</v>
      </c>
      <c r="G373" s="53">
        <f>IF(OR(A373&gt;'Immobilien-Kalkulation'!$B$70*12,D373&lt;=0),0,MAX(0,MIN(D373,E373-F373)))</f>
        <v>0</v>
      </c>
      <c r="H373" s="95">
        <v>0</v>
      </c>
      <c r="I373" s="53">
        <f>IF(A373&gt;'Immobilien-Kalkulation'!$B$70*12,0,MAX(0,D373-G373-J373))</f>
        <v>0</v>
      </c>
      <c r="J373" s="53">
        <f>IF(OR(A373&gt;'Immobilien-Kalkulation'!$B$70*12,D373&lt;=0),0,MIN(H373,MAX(0,D373-G373)))</f>
        <v>0</v>
      </c>
    </row>
    <row r="374" spans="1:10" x14ac:dyDescent="0.25">
      <c r="A374">
        <v>371</v>
      </c>
      <c r="B374">
        <f t="shared" si="5"/>
        <v>31</v>
      </c>
      <c r="C374" s="28">
        <f>IF(A374&gt;'Immobilien-Kalkulation'!$B$70*12,0,IF(AND('Immobilien-Kalkulation'!$B$72=1,B374&gt;'Immobilien-Kalkulation'!$B$69),'Immobilien-Kalkulation'!$B$73,'Immobilien-Kalkulation'!$B$65))</f>
        <v>0</v>
      </c>
      <c r="D374" s="53">
        <f>IF(A374&gt;'Immobilien-Kalkulation'!$B$70*12,0,I373)</f>
        <v>0</v>
      </c>
      <c r="E374" s="53">
        <f>IF(OR(A374&gt;'Immobilien-Kalkulation'!$B$70*12,D374&lt;=0),0,IF(AND('Immobilien-Kalkulation'!$B$72=1,B374&gt;'Immobilien-Kalkulation'!$B$69),MIN(D374*C374/12+'Immobilien-Kalkulation'!$B$74/12,D374*(1+C374/12)),MIN('Immobilien-Kalkulation'!$B$67,D374*(1+C374/12))))</f>
        <v>0</v>
      </c>
      <c r="F374" s="53">
        <f>IF(OR(A374&gt;'Immobilien-Kalkulation'!$B$70*12,D374&lt;=0),0,D374*C374/12)</f>
        <v>0</v>
      </c>
      <c r="G374" s="53">
        <f>IF(OR(A374&gt;'Immobilien-Kalkulation'!$B$70*12,D374&lt;=0),0,MAX(0,MIN(D374,E374-F374)))</f>
        <v>0</v>
      </c>
      <c r="H374" s="95">
        <v>0</v>
      </c>
      <c r="I374" s="53">
        <f>IF(A374&gt;'Immobilien-Kalkulation'!$B$70*12,0,MAX(0,D374-G374-J374))</f>
        <v>0</v>
      </c>
      <c r="J374" s="53">
        <f>IF(OR(A374&gt;'Immobilien-Kalkulation'!$B$70*12,D374&lt;=0),0,MIN(H374,MAX(0,D374-G374)))</f>
        <v>0</v>
      </c>
    </row>
    <row r="375" spans="1:10" x14ac:dyDescent="0.25">
      <c r="A375">
        <v>372</v>
      </c>
      <c r="B375">
        <f t="shared" si="5"/>
        <v>31</v>
      </c>
      <c r="C375" s="28">
        <f>IF(A375&gt;'Immobilien-Kalkulation'!$B$70*12,0,IF(AND('Immobilien-Kalkulation'!$B$72=1,B375&gt;'Immobilien-Kalkulation'!$B$69),'Immobilien-Kalkulation'!$B$73,'Immobilien-Kalkulation'!$B$65))</f>
        <v>0</v>
      </c>
      <c r="D375" s="53">
        <f>IF(A375&gt;'Immobilien-Kalkulation'!$B$70*12,0,I374)</f>
        <v>0</v>
      </c>
      <c r="E375" s="53">
        <f>IF(OR(A375&gt;'Immobilien-Kalkulation'!$B$70*12,D375&lt;=0),0,IF(AND('Immobilien-Kalkulation'!$B$72=1,B375&gt;'Immobilien-Kalkulation'!$B$69),MIN(D375*C375/12+'Immobilien-Kalkulation'!$B$74/12,D375*(1+C375/12)),MIN('Immobilien-Kalkulation'!$B$67,D375*(1+C375/12))))</f>
        <v>0</v>
      </c>
      <c r="F375" s="53">
        <f>IF(OR(A375&gt;'Immobilien-Kalkulation'!$B$70*12,D375&lt;=0),0,D375*C375/12)</f>
        <v>0</v>
      </c>
      <c r="G375" s="53">
        <f>IF(OR(A375&gt;'Immobilien-Kalkulation'!$B$70*12,D375&lt;=0),0,MAX(0,MIN(D375,E375-F375)))</f>
        <v>0</v>
      </c>
      <c r="H375" s="95">
        <v>0</v>
      </c>
      <c r="I375" s="53">
        <f>IF(A375&gt;'Immobilien-Kalkulation'!$B$70*12,0,MAX(0,D375-G375-J375))</f>
        <v>0</v>
      </c>
      <c r="J375" s="53">
        <f>IF(OR(A375&gt;'Immobilien-Kalkulation'!$B$70*12,D375&lt;=0),0,MIN(H375,MAX(0,D375-G375)))</f>
        <v>0</v>
      </c>
    </row>
    <row r="376" spans="1:10" x14ac:dyDescent="0.25">
      <c r="A376">
        <v>373</v>
      </c>
      <c r="B376">
        <f t="shared" si="5"/>
        <v>32</v>
      </c>
      <c r="C376" s="28">
        <f>IF(A376&gt;'Immobilien-Kalkulation'!$B$70*12,0,IF(AND('Immobilien-Kalkulation'!$B$72=1,B376&gt;'Immobilien-Kalkulation'!$B$69),'Immobilien-Kalkulation'!$B$73,'Immobilien-Kalkulation'!$B$65))</f>
        <v>0</v>
      </c>
      <c r="D376" s="53">
        <f>IF(A376&gt;'Immobilien-Kalkulation'!$B$70*12,0,I375)</f>
        <v>0</v>
      </c>
      <c r="E376" s="53">
        <f>IF(OR(A376&gt;'Immobilien-Kalkulation'!$B$70*12,D376&lt;=0),0,IF(AND('Immobilien-Kalkulation'!$B$72=1,B376&gt;'Immobilien-Kalkulation'!$B$69),MIN(D376*C376/12+'Immobilien-Kalkulation'!$B$74/12,D376*(1+C376/12)),MIN('Immobilien-Kalkulation'!$B$67,D376*(1+C376/12))))</f>
        <v>0</v>
      </c>
      <c r="F376" s="53">
        <f>IF(OR(A376&gt;'Immobilien-Kalkulation'!$B$70*12,D376&lt;=0),0,D376*C376/12)</f>
        <v>0</v>
      </c>
      <c r="G376" s="53">
        <f>IF(OR(A376&gt;'Immobilien-Kalkulation'!$B$70*12,D376&lt;=0),0,MAX(0,MIN(D376,E376-F376)))</f>
        <v>0</v>
      </c>
      <c r="H376" s="95">
        <v>0</v>
      </c>
      <c r="I376" s="53">
        <f>IF(A376&gt;'Immobilien-Kalkulation'!$B$70*12,0,MAX(0,D376-G376-J376))</f>
        <v>0</v>
      </c>
      <c r="J376" s="53">
        <f>IF(OR(A376&gt;'Immobilien-Kalkulation'!$B$70*12,D376&lt;=0),0,MIN(H376,MAX(0,D376-G376)))</f>
        <v>0</v>
      </c>
    </row>
    <row r="377" spans="1:10" x14ac:dyDescent="0.25">
      <c r="A377">
        <v>374</v>
      </c>
      <c r="B377">
        <f t="shared" si="5"/>
        <v>32</v>
      </c>
      <c r="C377" s="28">
        <f>IF(A377&gt;'Immobilien-Kalkulation'!$B$70*12,0,IF(AND('Immobilien-Kalkulation'!$B$72=1,B377&gt;'Immobilien-Kalkulation'!$B$69),'Immobilien-Kalkulation'!$B$73,'Immobilien-Kalkulation'!$B$65))</f>
        <v>0</v>
      </c>
      <c r="D377" s="53">
        <f>IF(A377&gt;'Immobilien-Kalkulation'!$B$70*12,0,I376)</f>
        <v>0</v>
      </c>
      <c r="E377" s="53">
        <f>IF(OR(A377&gt;'Immobilien-Kalkulation'!$B$70*12,D377&lt;=0),0,IF(AND('Immobilien-Kalkulation'!$B$72=1,B377&gt;'Immobilien-Kalkulation'!$B$69),MIN(D377*C377/12+'Immobilien-Kalkulation'!$B$74/12,D377*(1+C377/12)),MIN('Immobilien-Kalkulation'!$B$67,D377*(1+C377/12))))</f>
        <v>0</v>
      </c>
      <c r="F377" s="53">
        <f>IF(OR(A377&gt;'Immobilien-Kalkulation'!$B$70*12,D377&lt;=0),0,D377*C377/12)</f>
        <v>0</v>
      </c>
      <c r="G377" s="53">
        <f>IF(OR(A377&gt;'Immobilien-Kalkulation'!$B$70*12,D377&lt;=0),0,MAX(0,MIN(D377,E377-F377)))</f>
        <v>0</v>
      </c>
      <c r="H377" s="95">
        <v>0</v>
      </c>
      <c r="I377" s="53">
        <f>IF(A377&gt;'Immobilien-Kalkulation'!$B$70*12,0,MAX(0,D377-G377-J377))</f>
        <v>0</v>
      </c>
      <c r="J377" s="53">
        <f>IF(OR(A377&gt;'Immobilien-Kalkulation'!$B$70*12,D377&lt;=0),0,MIN(H377,MAX(0,D377-G377)))</f>
        <v>0</v>
      </c>
    </row>
    <row r="378" spans="1:10" x14ac:dyDescent="0.25">
      <c r="A378">
        <v>375</v>
      </c>
      <c r="B378">
        <f t="shared" si="5"/>
        <v>32</v>
      </c>
      <c r="C378" s="28">
        <f>IF(A378&gt;'Immobilien-Kalkulation'!$B$70*12,0,IF(AND('Immobilien-Kalkulation'!$B$72=1,B378&gt;'Immobilien-Kalkulation'!$B$69),'Immobilien-Kalkulation'!$B$73,'Immobilien-Kalkulation'!$B$65))</f>
        <v>0</v>
      </c>
      <c r="D378" s="53">
        <f>IF(A378&gt;'Immobilien-Kalkulation'!$B$70*12,0,I377)</f>
        <v>0</v>
      </c>
      <c r="E378" s="53">
        <f>IF(OR(A378&gt;'Immobilien-Kalkulation'!$B$70*12,D378&lt;=0),0,IF(AND('Immobilien-Kalkulation'!$B$72=1,B378&gt;'Immobilien-Kalkulation'!$B$69),MIN(D378*C378/12+'Immobilien-Kalkulation'!$B$74/12,D378*(1+C378/12)),MIN('Immobilien-Kalkulation'!$B$67,D378*(1+C378/12))))</f>
        <v>0</v>
      </c>
      <c r="F378" s="53">
        <f>IF(OR(A378&gt;'Immobilien-Kalkulation'!$B$70*12,D378&lt;=0),0,D378*C378/12)</f>
        <v>0</v>
      </c>
      <c r="G378" s="53">
        <f>IF(OR(A378&gt;'Immobilien-Kalkulation'!$B$70*12,D378&lt;=0),0,MAX(0,MIN(D378,E378-F378)))</f>
        <v>0</v>
      </c>
      <c r="H378" s="95">
        <v>0</v>
      </c>
      <c r="I378" s="53">
        <f>IF(A378&gt;'Immobilien-Kalkulation'!$B$70*12,0,MAX(0,D378-G378-J378))</f>
        <v>0</v>
      </c>
      <c r="J378" s="53">
        <f>IF(OR(A378&gt;'Immobilien-Kalkulation'!$B$70*12,D378&lt;=0),0,MIN(H378,MAX(0,D378-G378)))</f>
        <v>0</v>
      </c>
    </row>
    <row r="379" spans="1:10" x14ac:dyDescent="0.25">
      <c r="A379">
        <v>376</v>
      </c>
      <c r="B379">
        <f t="shared" si="5"/>
        <v>32</v>
      </c>
      <c r="C379" s="28">
        <f>IF(A379&gt;'Immobilien-Kalkulation'!$B$70*12,0,IF(AND('Immobilien-Kalkulation'!$B$72=1,B379&gt;'Immobilien-Kalkulation'!$B$69),'Immobilien-Kalkulation'!$B$73,'Immobilien-Kalkulation'!$B$65))</f>
        <v>0</v>
      </c>
      <c r="D379" s="53">
        <f>IF(A379&gt;'Immobilien-Kalkulation'!$B$70*12,0,I378)</f>
        <v>0</v>
      </c>
      <c r="E379" s="53">
        <f>IF(OR(A379&gt;'Immobilien-Kalkulation'!$B$70*12,D379&lt;=0),0,IF(AND('Immobilien-Kalkulation'!$B$72=1,B379&gt;'Immobilien-Kalkulation'!$B$69),MIN(D379*C379/12+'Immobilien-Kalkulation'!$B$74/12,D379*(1+C379/12)),MIN('Immobilien-Kalkulation'!$B$67,D379*(1+C379/12))))</f>
        <v>0</v>
      </c>
      <c r="F379" s="53">
        <f>IF(OR(A379&gt;'Immobilien-Kalkulation'!$B$70*12,D379&lt;=0),0,D379*C379/12)</f>
        <v>0</v>
      </c>
      <c r="G379" s="53">
        <f>IF(OR(A379&gt;'Immobilien-Kalkulation'!$B$70*12,D379&lt;=0),0,MAX(0,MIN(D379,E379-F379)))</f>
        <v>0</v>
      </c>
      <c r="H379" s="95">
        <v>0</v>
      </c>
      <c r="I379" s="53">
        <f>IF(A379&gt;'Immobilien-Kalkulation'!$B$70*12,0,MAX(0,D379-G379-J379))</f>
        <v>0</v>
      </c>
      <c r="J379" s="53">
        <f>IF(OR(A379&gt;'Immobilien-Kalkulation'!$B$70*12,D379&lt;=0),0,MIN(H379,MAX(0,D379-G379)))</f>
        <v>0</v>
      </c>
    </row>
    <row r="380" spans="1:10" x14ac:dyDescent="0.25">
      <c r="A380">
        <v>377</v>
      </c>
      <c r="B380">
        <f t="shared" si="5"/>
        <v>32</v>
      </c>
      <c r="C380" s="28">
        <f>IF(A380&gt;'Immobilien-Kalkulation'!$B$70*12,0,IF(AND('Immobilien-Kalkulation'!$B$72=1,B380&gt;'Immobilien-Kalkulation'!$B$69),'Immobilien-Kalkulation'!$B$73,'Immobilien-Kalkulation'!$B$65))</f>
        <v>0</v>
      </c>
      <c r="D380" s="53">
        <f>IF(A380&gt;'Immobilien-Kalkulation'!$B$70*12,0,I379)</f>
        <v>0</v>
      </c>
      <c r="E380" s="53">
        <f>IF(OR(A380&gt;'Immobilien-Kalkulation'!$B$70*12,D380&lt;=0),0,IF(AND('Immobilien-Kalkulation'!$B$72=1,B380&gt;'Immobilien-Kalkulation'!$B$69),MIN(D380*C380/12+'Immobilien-Kalkulation'!$B$74/12,D380*(1+C380/12)),MIN('Immobilien-Kalkulation'!$B$67,D380*(1+C380/12))))</f>
        <v>0</v>
      </c>
      <c r="F380" s="53">
        <f>IF(OR(A380&gt;'Immobilien-Kalkulation'!$B$70*12,D380&lt;=0),0,D380*C380/12)</f>
        <v>0</v>
      </c>
      <c r="G380" s="53">
        <f>IF(OR(A380&gt;'Immobilien-Kalkulation'!$B$70*12,D380&lt;=0),0,MAX(0,MIN(D380,E380-F380)))</f>
        <v>0</v>
      </c>
      <c r="H380" s="95">
        <v>0</v>
      </c>
      <c r="I380" s="53">
        <f>IF(A380&gt;'Immobilien-Kalkulation'!$B$70*12,0,MAX(0,D380-G380-J380))</f>
        <v>0</v>
      </c>
      <c r="J380" s="53">
        <f>IF(OR(A380&gt;'Immobilien-Kalkulation'!$B$70*12,D380&lt;=0),0,MIN(H380,MAX(0,D380-G380)))</f>
        <v>0</v>
      </c>
    </row>
    <row r="381" spans="1:10" x14ac:dyDescent="0.25">
      <c r="A381">
        <v>378</v>
      </c>
      <c r="B381">
        <f t="shared" si="5"/>
        <v>32</v>
      </c>
      <c r="C381" s="28">
        <f>IF(A381&gt;'Immobilien-Kalkulation'!$B$70*12,0,IF(AND('Immobilien-Kalkulation'!$B$72=1,B381&gt;'Immobilien-Kalkulation'!$B$69),'Immobilien-Kalkulation'!$B$73,'Immobilien-Kalkulation'!$B$65))</f>
        <v>0</v>
      </c>
      <c r="D381" s="53">
        <f>IF(A381&gt;'Immobilien-Kalkulation'!$B$70*12,0,I380)</f>
        <v>0</v>
      </c>
      <c r="E381" s="53">
        <f>IF(OR(A381&gt;'Immobilien-Kalkulation'!$B$70*12,D381&lt;=0),0,IF(AND('Immobilien-Kalkulation'!$B$72=1,B381&gt;'Immobilien-Kalkulation'!$B$69),MIN(D381*C381/12+'Immobilien-Kalkulation'!$B$74/12,D381*(1+C381/12)),MIN('Immobilien-Kalkulation'!$B$67,D381*(1+C381/12))))</f>
        <v>0</v>
      </c>
      <c r="F381" s="53">
        <f>IF(OR(A381&gt;'Immobilien-Kalkulation'!$B$70*12,D381&lt;=0),0,D381*C381/12)</f>
        <v>0</v>
      </c>
      <c r="G381" s="53">
        <f>IF(OR(A381&gt;'Immobilien-Kalkulation'!$B$70*12,D381&lt;=0),0,MAX(0,MIN(D381,E381-F381)))</f>
        <v>0</v>
      </c>
      <c r="H381" s="95">
        <v>0</v>
      </c>
      <c r="I381" s="53">
        <f>IF(A381&gt;'Immobilien-Kalkulation'!$B$70*12,0,MAX(0,D381-G381-J381))</f>
        <v>0</v>
      </c>
      <c r="J381" s="53">
        <f>IF(OR(A381&gt;'Immobilien-Kalkulation'!$B$70*12,D381&lt;=0),0,MIN(H381,MAX(0,D381-G381)))</f>
        <v>0</v>
      </c>
    </row>
    <row r="382" spans="1:10" x14ac:dyDescent="0.25">
      <c r="A382">
        <v>379</v>
      </c>
      <c r="B382">
        <f t="shared" si="5"/>
        <v>32</v>
      </c>
      <c r="C382" s="28">
        <f>IF(A382&gt;'Immobilien-Kalkulation'!$B$70*12,0,IF(AND('Immobilien-Kalkulation'!$B$72=1,B382&gt;'Immobilien-Kalkulation'!$B$69),'Immobilien-Kalkulation'!$B$73,'Immobilien-Kalkulation'!$B$65))</f>
        <v>0</v>
      </c>
      <c r="D382" s="53">
        <f>IF(A382&gt;'Immobilien-Kalkulation'!$B$70*12,0,I381)</f>
        <v>0</v>
      </c>
      <c r="E382" s="53">
        <f>IF(OR(A382&gt;'Immobilien-Kalkulation'!$B$70*12,D382&lt;=0),0,IF(AND('Immobilien-Kalkulation'!$B$72=1,B382&gt;'Immobilien-Kalkulation'!$B$69),MIN(D382*C382/12+'Immobilien-Kalkulation'!$B$74/12,D382*(1+C382/12)),MIN('Immobilien-Kalkulation'!$B$67,D382*(1+C382/12))))</f>
        <v>0</v>
      </c>
      <c r="F382" s="53">
        <f>IF(OR(A382&gt;'Immobilien-Kalkulation'!$B$70*12,D382&lt;=0),0,D382*C382/12)</f>
        <v>0</v>
      </c>
      <c r="G382" s="53">
        <f>IF(OR(A382&gt;'Immobilien-Kalkulation'!$B$70*12,D382&lt;=0),0,MAX(0,MIN(D382,E382-F382)))</f>
        <v>0</v>
      </c>
      <c r="H382" s="95">
        <v>0</v>
      </c>
      <c r="I382" s="53">
        <f>IF(A382&gt;'Immobilien-Kalkulation'!$B$70*12,0,MAX(0,D382-G382-J382))</f>
        <v>0</v>
      </c>
      <c r="J382" s="53">
        <f>IF(OR(A382&gt;'Immobilien-Kalkulation'!$B$70*12,D382&lt;=0),0,MIN(H382,MAX(0,D382-G382)))</f>
        <v>0</v>
      </c>
    </row>
    <row r="383" spans="1:10" x14ac:dyDescent="0.25">
      <c r="A383">
        <v>380</v>
      </c>
      <c r="B383">
        <f t="shared" si="5"/>
        <v>32</v>
      </c>
      <c r="C383" s="28">
        <f>IF(A383&gt;'Immobilien-Kalkulation'!$B$70*12,0,IF(AND('Immobilien-Kalkulation'!$B$72=1,B383&gt;'Immobilien-Kalkulation'!$B$69),'Immobilien-Kalkulation'!$B$73,'Immobilien-Kalkulation'!$B$65))</f>
        <v>0</v>
      </c>
      <c r="D383" s="53">
        <f>IF(A383&gt;'Immobilien-Kalkulation'!$B$70*12,0,I382)</f>
        <v>0</v>
      </c>
      <c r="E383" s="53">
        <f>IF(OR(A383&gt;'Immobilien-Kalkulation'!$B$70*12,D383&lt;=0),0,IF(AND('Immobilien-Kalkulation'!$B$72=1,B383&gt;'Immobilien-Kalkulation'!$B$69),MIN(D383*C383/12+'Immobilien-Kalkulation'!$B$74/12,D383*(1+C383/12)),MIN('Immobilien-Kalkulation'!$B$67,D383*(1+C383/12))))</f>
        <v>0</v>
      </c>
      <c r="F383" s="53">
        <f>IF(OR(A383&gt;'Immobilien-Kalkulation'!$B$70*12,D383&lt;=0),0,D383*C383/12)</f>
        <v>0</v>
      </c>
      <c r="G383" s="53">
        <f>IF(OR(A383&gt;'Immobilien-Kalkulation'!$B$70*12,D383&lt;=0),0,MAX(0,MIN(D383,E383-F383)))</f>
        <v>0</v>
      </c>
      <c r="H383" s="95">
        <v>0</v>
      </c>
      <c r="I383" s="53">
        <f>IF(A383&gt;'Immobilien-Kalkulation'!$B$70*12,0,MAX(0,D383-G383-J383))</f>
        <v>0</v>
      </c>
      <c r="J383" s="53">
        <f>IF(OR(A383&gt;'Immobilien-Kalkulation'!$B$70*12,D383&lt;=0),0,MIN(H383,MAX(0,D383-G383)))</f>
        <v>0</v>
      </c>
    </row>
    <row r="384" spans="1:10" x14ac:dyDescent="0.25">
      <c r="A384">
        <v>381</v>
      </c>
      <c r="B384">
        <f t="shared" si="5"/>
        <v>32</v>
      </c>
      <c r="C384" s="28">
        <f>IF(A384&gt;'Immobilien-Kalkulation'!$B$70*12,0,IF(AND('Immobilien-Kalkulation'!$B$72=1,B384&gt;'Immobilien-Kalkulation'!$B$69),'Immobilien-Kalkulation'!$B$73,'Immobilien-Kalkulation'!$B$65))</f>
        <v>0</v>
      </c>
      <c r="D384" s="53">
        <f>IF(A384&gt;'Immobilien-Kalkulation'!$B$70*12,0,I383)</f>
        <v>0</v>
      </c>
      <c r="E384" s="53">
        <f>IF(OR(A384&gt;'Immobilien-Kalkulation'!$B$70*12,D384&lt;=0),0,IF(AND('Immobilien-Kalkulation'!$B$72=1,B384&gt;'Immobilien-Kalkulation'!$B$69),MIN(D384*C384/12+'Immobilien-Kalkulation'!$B$74/12,D384*(1+C384/12)),MIN('Immobilien-Kalkulation'!$B$67,D384*(1+C384/12))))</f>
        <v>0</v>
      </c>
      <c r="F384" s="53">
        <f>IF(OR(A384&gt;'Immobilien-Kalkulation'!$B$70*12,D384&lt;=0),0,D384*C384/12)</f>
        <v>0</v>
      </c>
      <c r="G384" s="53">
        <f>IF(OR(A384&gt;'Immobilien-Kalkulation'!$B$70*12,D384&lt;=0),0,MAX(0,MIN(D384,E384-F384)))</f>
        <v>0</v>
      </c>
      <c r="H384" s="95">
        <v>0</v>
      </c>
      <c r="I384" s="53">
        <f>IF(A384&gt;'Immobilien-Kalkulation'!$B$70*12,0,MAX(0,D384-G384-J384))</f>
        <v>0</v>
      </c>
      <c r="J384" s="53">
        <f>IF(OR(A384&gt;'Immobilien-Kalkulation'!$B$70*12,D384&lt;=0),0,MIN(H384,MAX(0,D384-G384)))</f>
        <v>0</v>
      </c>
    </row>
    <row r="385" spans="1:10" x14ac:dyDescent="0.25">
      <c r="A385">
        <v>382</v>
      </c>
      <c r="B385">
        <f t="shared" si="5"/>
        <v>32</v>
      </c>
      <c r="C385" s="28">
        <f>IF(A385&gt;'Immobilien-Kalkulation'!$B$70*12,0,IF(AND('Immobilien-Kalkulation'!$B$72=1,B385&gt;'Immobilien-Kalkulation'!$B$69),'Immobilien-Kalkulation'!$B$73,'Immobilien-Kalkulation'!$B$65))</f>
        <v>0</v>
      </c>
      <c r="D385" s="53">
        <f>IF(A385&gt;'Immobilien-Kalkulation'!$B$70*12,0,I384)</f>
        <v>0</v>
      </c>
      <c r="E385" s="53">
        <f>IF(OR(A385&gt;'Immobilien-Kalkulation'!$B$70*12,D385&lt;=0),0,IF(AND('Immobilien-Kalkulation'!$B$72=1,B385&gt;'Immobilien-Kalkulation'!$B$69),MIN(D385*C385/12+'Immobilien-Kalkulation'!$B$74/12,D385*(1+C385/12)),MIN('Immobilien-Kalkulation'!$B$67,D385*(1+C385/12))))</f>
        <v>0</v>
      </c>
      <c r="F385" s="53">
        <f>IF(OR(A385&gt;'Immobilien-Kalkulation'!$B$70*12,D385&lt;=0),0,D385*C385/12)</f>
        <v>0</v>
      </c>
      <c r="G385" s="53">
        <f>IF(OR(A385&gt;'Immobilien-Kalkulation'!$B$70*12,D385&lt;=0),0,MAX(0,MIN(D385,E385-F385)))</f>
        <v>0</v>
      </c>
      <c r="H385" s="95">
        <v>0</v>
      </c>
      <c r="I385" s="53">
        <f>IF(A385&gt;'Immobilien-Kalkulation'!$B$70*12,0,MAX(0,D385-G385-J385))</f>
        <v>0</v>
      </c>
      <c r="J385" s="53">
        <f>IF(OR(A385&gt;'Immobilien-Kalkulation'!$B$70*12,D385&lt;=0),0,MIN(H385,MAX(0,D385-G385)))</f>
        <v>0</v>
      </c>
    </row>
    <row r="386" spans="1:10" x14ac:dyDescent="0.25">
      <c r="A386">
        <v>383</v>
      </c>
      <c r="B386">
        <f t="shared" si="5"/>
        <v>32</v>
      </c>
      <c r="C386" s="28">
        <f>IF(A386&gt;'Immobilien-Kalkulation'!$B$70*12,0,IF(AND('Immobilien-Kalkulation'!$B$72=1,B386&gt;'Immobilien-Kalkulation'!$B$69),'Immobilien-Kalkulation'!$B$73,'Immobilien-Kalkulation'!$B$65))</f>
        <v>0</v>
      </c>
      <c r="D386" s="53">
        <f>IF(A386&gt;'Immobilien-Kalkulation'!$B$70*12,0,I385)</f>
        <v>0</v>
      </c>
      <c r="E386" s="53">
        <f>IF(OR(A386&gt;'Immobilien-Kalkulation'!$B$70*12,D386&lt;=0),0,IF(AND('Immobilien-Kalkulation'!$B$72=1,B386&gt;'Immobilien-Kalkulation'!$B$69),MIN(D386*C386/12+'Immobilien-Kalkulation'!$B$74/12,D386*(1+C386/12)),MIN('Immobilien-Kalkulation'!$B$67,D386*(1+C386/12))))</f>
        <v>0</v>
      </c>
      <c r="F386" s="53">
        <f>IF(OR(A386&gt;'Immobilien-Kalkulation'!$B$70*12,D386&lt;=0),0,D386*C386/12)</f>
        <v>0</v>
      </c>
      <c r="G386" s="53">
        <f>IF(OR(A386&gt;'Immobilien-Kalkulation'!$B$70*12,D386&lt;=0),0,MAX(0,MIN(D386,E386-F386)))</f>
        <v>0</v>
      </c>
      <c r="H386" s="95">
        <v>0</v>
      </c>
      <c r="I386" s="53">
        <f>IF(A386&gt;'Immobilien-Kalkulation'!$B$70*12,0,MAX(0,D386-G386-J386))</f>
        <v>0</v>
      </c>
      <c r="J386" s="53">
        <f>IF(OR(A386&gt;'Immobilien-Kalkulation'!$B$70*12,D386&lt;=0),0,MIN(H386,MAX(0,D386-G386)))</f>
        <v>0</v>
      </c>
    </row>
    <row r="387" spans="1:10" x14ac:dyDescent="0.25">
      <c r="A387">
        <v>384</v>
      </c>
      <c r="B387">
        <f t="shared" si="5"/>
        <v>32</v>
      </c>
      <c r="C387" s="28">
        <f>IF(A387&gt;'Immobilien-Kalkulation'!$B$70*12,0,IF(AND('Immobilien-Kalkulation'!$B$72=1,B387&gt;'Immobilien-Kalkulation'!$B$69),'Immobilien-Kalkulation'!$B$73,'Immobilien-Kalkulation'!$B$65))</f>
        <v>0</v>
      </c>
      <c r="D387" s="53">
        <f>IF(A387&gt;'Immobilien-Kalkulation'!$B$70*12,0,I386)</f>
        <v>0</v>
      </c>
      <c r="E387" s="53">
        <f>IF(OR(A387&gt;'Immobilien-Kalkulation'!$B$70*12,D387&lt;=0),0,IF(AND('Immobilien-Kalkulation'!$B$72=1,B387&gt;'Immobilien-Kalkulation'!$B$69),MIN(D387*C387/12+'Immobilien-Kalkulation'!$B$74/12,D387*(1+C387/12)),MIN('Immobilien-Kalkulation'!$B$67,D387*(1+C387/12))))</f>
        <v>0</v>
      </c>
      <c r="F387" s="53">
        <f>IF(OR(A387&gt;'Immobilien-Kalkulation'!$B$70*12,D387&lt;=0),0,D387*C387/12)</f>
        <v>0</v>
      </c>
      <c r="G387" s="53">
        <f>IF(OR(A387&gt;'Immobilien-Kalkulation'!$B$70*12,D387&lt;=0),0,MAX(0,MIN(D387,E387-F387)))</f>
        <v>0</v>
      </c>
      <c r="H387" s="95">
        <v>0</v>
      </c>
      <c r="I387" s="53">
        <f>IF(A387&gt;'Immobilien-Kalkulation'!$B$70*12,0,MAX(0,D387-G387-J387))</f>
        <v>0</v>
      </c>
      <c r="J387" s="53">
        <f>IF(OR(A387&gt;'Immobilien-Kalkulation'!$B$70*12,D387&lt;=0),0,MIN(H387,MAX(0,D387-G387)))</f>
        <v>0</v>
      </c>
    </row>
    <row r="388" spans="1:10" x14ac:dyDescent="0.25">
      <c r="A388">
        <v>385</v>
      </c>
      <c r="B388">
        <f t="shared" ref="B388:B451" si="6">INT((A388-1)/12)+1</f>
        <v>33</v>
      </c>
      <c r="C388" s="28">
        <f>IF(A388&gt;'Immobilien-Kalkulation'!$B$70*12,0,IF(AND('Immobilien-Kalkulation'!$B$72=1,B388&gt;'Immobilien-Kalkulation'!$B$69),'Immobilien-Kalkulation'!$B$73,'Immobilien-Kalkulation'!$B$65))</f>
        <v>0</v>
      </c>
      <c r="D388" s="53">
        <f>IF(A388&gt;'Immobilien-Kalkulation'!$B$70*12,0,I387)</f>
        <v>0</v>
      </c>
      <c r="E388" s="53">
        <f>IF(OR(A388&gt;'Immobilien-Kalkulation'!$B$70*12,D388&lt;=0),0,IF(AND('Immobilien-Kalkulation'!$B$72=1,B388&gt;'Immobilien-Kalkulation'!$B$69),MIN(D388*C388/12+'Immobilien-Kalkulation'!$B$74/12,D388*(1+C388/12)),MIN('Immobilien-Kalkulation'!$B$67,D388*(1+C388/12))))</f>
        <v>0</v>
      </c>
      <c r="F388" s="53">
        <f>IF(OR(A388&gt;'Immobilien-Kalkulation'!$B$70*12,D388&lt;=0),0,D388*C388/12)</f>
        <v>0</v>
      </c>
      <c r="G388" s="53">
        <f>IF(OR(A388&gt;'Immobilien-Kalkulation'!$B$70*12,D388&lt;=0),0,MAX(0,MIN(D388,E388-F388)))</f>
        <v>0</v>
      </c>
      <c r="H388" s="95">
        <v>0</v>
      </c>
      <c r="I388" s="53">
        <f>IF(A388&gt;'Immobilien-Kalkulation'!$B$70*12,0,MAX(0,D388-G388-J388))</f>
        <v>0</v>
      </c>
      <c r="J388" s="53">
        <f>IF(OR(A388&gt;'Immobilien-Kalkulation'!$B$70*12,D388&lt;=0),0,MIN(H388,MAX(0,D388-G388)))</f>
        <v>0</v>
      </c>
    </row>
    <row r="389" spans="1:10" x14ac:dyDescent="0.25">
      <c r="A389">
        <v>386</v>
      </c>
      <c r="B389">
        <f t="shared" si="6"/>
        <v>33</v>
      </c>
      <c r="C389" s="28">
        <f>IF(A389&gt;'Immobilien-Kalkulation'!$B$70*12,0,IF(AND('Immobilien-Kalkulation'!$B$72=1,B389&gt;'Immobilien-Kalkulation'!$B$69),'Immobilien-Kalkulation'!$B$73,'Immobilien-Kalkulation'!$B$65))</f>
        <v>0</v>
      </c>
      <c r="D389" s="53">
        <f>IF(A389&gt;'Immobilien-Kalkulation'!$B$70*12,0,I388)</f>
        <v>0</v>
      </c>
      <c r="E389" s="53">
        <f>IF(OR(A389&gt;'Immobilien-Kalkulation'!$B$70*12,D389&lt;=0),0,IF(AND('Immobilien-Kalkulation'!$B$72=1,B389&gt;'Immobilien-Kalkulation'!$B$69),MIN(D389*C389/12+'Immobilien-Kalkulation'!$B$74/12,D389*(1+C389/12)),MIN('Immobilien-Kalkulation'!$B$67,D389*(1+C389/12))))</f>
        <v>0</v>
      </c>
      <c r="F389" s="53">
        <f>IF(OR(A389&gt;'Immobilien-Kalkulation'!$B$70*12,D389&lt;=0),0,D389*C389/12)</f>
        <v>0</v>
      </c>
      <c r="G389" s="53">
        <f>IF(OR(A389&gt;'Immobilien-Kalkulation'!$B$70*12,D389&lt;=0),0,MAX(0,MIN(D389,E389-F389)))</f>
        <v>0</v>
      </c>
      <c r="H389" s="95">
        <v>0</v>
      </c>
      <c r="I389" s="53">
        <f>IF(A389&gt;'Immobilien-Kalkulation'!$B$70*12,0,MAX(0,D389-G389-J389))</f>
        <v>0</v>
      </c>
      <c r="J389" s="53">
        <f>IF(OR(A389&gt;'Immobilien-Kalkulation'!$B$70*12,D389&lt;=0),0,MIN(H389,MAX(0,D389-G389)))</f>
        <v>0</v>
      </c>
    </row>
    <row r="390" spans="1:10" x14ac:dyDescent="0.25">
      <c r="A390">
        <v>387</v>
      </c>
      <c r="B390">
        <f t="shared" si="6"/>
        <v>33</v>
      </c>
      <c r="C390" s="28">
        <f>IF(A390&gt;'Immobilien-Kalkulation'!$B$70*12,0,IF(AND('Immobilien-Kalkulation'!$B$72=1,B390&gt;'Immobilien-Kalkulation'!$B$69),'Immobilien-Kalkulation'!$B$73,'Immobilien-Kalkulation'!$B$65))</f>
        <v>0</v>
      </c>
      <c r="D390" s="53">
        <f>IF(A390&gt;'Immobilien-Kalkulation'!$B$70*12,0,I389)</f>
        <v>0</v>
      </c>
      <c r="E390" s="53">
        <f>IF(OR(A390&gt;'Immobilien-Kalkulation'!$B$70*12,D390&lt;=0),0,IF(AND('Immobilien-Kalkulation'!$B$72=1,B390&gt;'Immobilien-Kalkulation'!$B$69),MIN(D390*C390/12+'Immobilien-Kalkulation'!$B$74/12,D390*(1+C390/12)),MIN('Immobilien-Kalkulation'!$B$67,D390*(1+C390/12))))</f>
        <v>0</v>
      </c>
      <c r="F390" s="53">
        <f>IF(OR(A390&gt;'Immobilien-Kalkulation'!$B$70*12,D390&lt;=0),0,D390*C390/12)</f>
        <v>0</v>
      </c>
      <c r="G390" s="53">
        <f>IF(OR(A390&gt;'Immobilien-Kalkulation'!$B$70*12,D390&lt;=0),0,MAX(0,MIN(D390,E390-F390)))</f>
        <v>0</v>
      </c>
      <c r="H390" s="95">
        <v>0</v>
      </c>
      <c r="I390" s="53">
        <f>IF(A390&gt;'Immobilien-Kalkulation'!$B$70*12,0,MAX(0,D390-G390-J390))</f>
        <v>0</v>
      </c>
      <c r="J390" s="53">
        <f>IF(OR(A390&gt;'Immobilien-Kalkulation'!$B$70*12,D390&lt;=0),0,MIN(H390,MAX(0,D390-G390)))</f>
        <v>0</v>
      </c>
    </row>
    <row r="391" spans="1:10" x14ac:dyDescent="0.25">
      <c r="A391">
        <v>388</v>
      </c>
      <c r="B391">
        <f t="shared" si="6"/>
        <v>33</v>
      </c>
      <c r="C391" s="28">
        <f>IF(A391&gt;'Immobilien-Kalkulation'!$B$70*12,0,IF(AND('Immobilien-Kalkulation'!$B$72=1,B391&gt;'Immobilien-Kalkulation'!$B$69),'Immobilien-Kalkulation'!$B$73,'Immobilien-Kalkulation'!$B$65))</f>
        <v>0</v>
      </c>
      <c r="D391" s="53">
        <f>IF(A391&gt;'Immobilien-Kalkulation'!$B$70*12,0,I390)</f>
        <v>0</v>
      </c>
      <c r="E391" s="53">
        <f>IF(OR(A391&gt;'Immobilien-Kalkulation'!$B$70*12,D391&lt;=0),0,IF(AND('Immobilien-Kalkulation'!$B$72=1,B391&gt;'Immobilien-Kalkulation'!$B$69),MIN(D391*C391/12+'Immobilien-Kalkulation'!$B$74/12,D391*(1+C391/12)),MIN('Immobilien-Kalkulation'!$B$67,D391*(1+C391/12))))</f>
        <v>0</v>
      </c>
      <c r="F391" s="53">
        <f>IF(OR(A391&gt;'Immobilien-Kalkulation'!$B$70*12,D391&lt;=0),0,D391*C391/12)</f>
        <v>0</v>
      </c>
      <c r="G391" s="53">
        <f>IF(OR(A391&gt;'Immobilien-Kalkulation'!$B$70*12,D391&lt;=0),0,MAX(0,MIN(D391,E391-F391)))</f>
        <v>0</v>
      </c>
      <c r="H391" s="95">
        <v>0</v>
      </c>
      <c r="I391" s="53">
        <f>IF(A391&gt;'Immobilien-Kalkulation'!$B$70*12,0,MAX(0,D391-G391-J391))</f>
        <v>0</v>
      </c>
      <c r="J391" s="53">
        <f>IF(OR(A391&gt;'Immobilien-Kalkulation'!$B$70*12,D391&lt;=0),0,MIN(H391,MAX(0,D391-G391)))</f>
        <v>0</v>
      </c>
    </row>
    <row r="392" spans="1:10" x14ac:dyDescent="0.25">
      <c r="A392">
        <v>389</v>
      </c>
      <c r="B392">
        <f t="shared" si="6"/>
        <v>33</v>
      </c>
      <c r="C392" s="28">
        <f>IF(A392&gt;'Immobilien-Kalkulation'!$B$70*12,0,IF(AND('Immobilien-Kalkulation'!$B$72=1,B392&gt;'Immobilien-Kalkulation'!$B$69),'Immobilien-Kalkulation'!$B$73,'Immobilien-Kalkulation'!$B$65))</f>
        <v>0</v>
      </c>
      <c r="D392" s="53">
        <f>IF(A392&gt;'Immobilien-Kalkulation'!$B$70*12,0,I391)</f>
        <v>0</v>
      </c>
      <c r="E392" s="53">
        <f>IF(OR(A392&gt;'Immobilien-Kalkulation'!$B$70*12,D392&lt;=0),0,IF(AND('Immobilien-Kalkulation'!$B$72=1,B392&gt;'Immobilien-Kalkulation'!$B$69),MIN(D392*C392/12+'Immobilien-Kalkulation'!$B$74/12,D392*(1+C392/12)),MIN('Immobilien-Kalkulation'!$B$67,D392*(1+C392/12))))</f>
        <v>0</v>
      </c>
      <c r="F392" s="53">
        <f>IF(OR(A392&gt;'Immobilien-Kalkulation'!$B$70*12,D392&lt;=0),0,D392*C392/12)</f>
        <v>0</v>
      </c>
      <c r="G392" s="53">
        <f>IF(OR(A392&gt;'Immobilien-Kalkulation'!$B$70*12,D392&lt;=0),0,MAX(0,MIN(D392,E392-F392)))</f>
        <v>0</v>
      </c>
      <c r="H392" s="95">
        <v>0</v>
      </c>
      <c r="I392" s="53">
        <f>IF(A392&gt;'Immobilien-Kalkulation'!$B$70*12,0,MAX(0,D392-G392-J392))</f>
        <v>0</v>
      </c>
      <c r="J392" s="53">
        <f>IF(OR(A392&gt;'Immobilien-Kalkulation'!$B$70*12,D392&lt;=0),0,MIN(H392,MAX(0,D392-G392)))</f>
        <v>0</v>
      </c>
    </row>
    <row r="393" spans="1:10" x14ac:dyDescent="0.25">
      <c r="A393">
        <v>390</v>
      </c>
      <c r="B393">
        <f t="shared" si="6"/>
        <v>33</v>
      </c>
      <c r="C393" s="28">
        <f>IF(A393&gt;'Immobilien-Kalkulation'!$B$70*12,0,IF(AND('Immobilien-Kalkulation'!$B$72=1,B393&gt;'Immobilien-Kalkulation'!$B$69),'Immobilien-Kalkulation'!$B$73,'Immobilien-Kalkulation'!$B$65))</f>
        <v>0</v>
      </c>
      <c r="D393" s="53">
        <f>IF(A393&gt;'Immobilien-Kalkulation'!$B$70*12,0,I392)</f>
        <v>0</v>
      </c>
      <c r="E393" s="53">
        <f>IF(OR(A393&gt;'Immobilien-Kalkulation'!$B$70*12,D393&lt;=0),0,IF(AND('Immobilien-Kalkulation'!$B$72=1,B393&gt;'Immobilien-Kalkulation'!$B$69),MIN(D393*C393/12+'Immobilien-Kalkulation'!$B$74/12,D393*(1+C393/12)),MIN('Immobilien-Kalkulation'!$B$67,D393*(1+C393/12))))</f>
        <v>0</v>
      </c>
      <c r="F393" s="53">
        <f>IF(OR(A393&gt;'Immobilien-Kalkulation'!$B$70*12,D393&lt;=0),0,D393*C393/12)</f>
        <v>0</v>
      </c>
      <c r="G393" s="53">
        <f>IF(OR(A393&gt;'Immobilien-Kalkulation'!$B$70*12,D393&lt;=0),0,MAX(0,MIN(D393,E393-F393)))</f>
        <v>0</v>
      </c>
      <c r="H393" s="95">
        <v>0</v>
      </c>
      <c r="I393" s="53">
        <f>IF(A393&gt;'Immobilien-Kalkulation'!$B$70*12,0,MAX(0,D393-G393-J393))</f>
        <v>0</v>
      </c>
      <c r="J393" s="53">
        <f>IF(OR(A393&gt;'Immobilien-Kalkulation'!$B$70*12,D393&lt;=0),0,MIN(H393,MAX(0,D393-G393)))</f>
        <v>0</v>
      </c>
    </row>
    <row r="394" spans="1:10" x14ac:dyDescent="0.25">
      <c r="A394">
        <v>391</v>
      </c>
      <c r="B394">
        <f t="shared" si="6"/>
        <v>33</v>
      </c>
      <c r="C394" s="28">
        <f>IF(A394&gt;'Immobilien-Kalkulation'!$B$70*12,0,IF(AND('Immobilien-Kalkulation'!$B$72=1,B394&gt;'Immobilien-Kalkulation'!$B$69),'Immobilien-Kalkulation'!$B$73,'Immobilien-Kalkulation'!$B$65))</f>
        <v>0</v>
      </c>
      <c r="D394" s="53">
        <f>IF(A394&gt;'Immobilien-Kalkulation'!$B$70*12,0,I393)</f>
        <v>0</v>
      </c>
      <c r="E394" s="53">
        <f>IF(OR(A394&gt;'Immobilien-Kalkulation'!$B$70*12,D394&lt;=0),0,IF(AND('Immobilien-Kalkulation'!$B$72=1,B394&gt;'Immobilien-Kalkulation'!$B$69),MIN(D394*C394/12+'Immobilien-Kalkulation'!$B$74/12,D394*(1+C394/12)),MIN('Immobilien-Kalkulation'!$B$67,D394*(1+C394/12))))</f>
        <v>0</v>
      </c>
      <c r="F394" s="53">
        <f>IF(OR(A394&gt;'Immobilien-Kalkulation'!$B$70*12,D394&lt;=0),0,D394*C394/12)</f>
        <v>0</v>
      </c>
      <c r="G394" s="53">
        <f>IF(OR(A394&gt;'Immobilien-Kalkulation'!$B$70*12,D394&lt;=0),0,MAX(0,MIN(D394,E394-F394)))</f>
        <v>0</v>
      </c>
      <c r="H394" s="95">
        <v>0</v>
      </c>
      <c r="I394" s="53">
        <f>IF(A394&gt;'Immobilien-Kalkulation'!$B$70*12,0,MAX(0,D394-G394-J394))</f>
        <v>0</v>
      </c>
      <c r="J394" s="53">
        <f>IF(OR(A394&gt;'Immobilien-Kalkulation'!$B$70*12,D394&lt;=0),0,MIN(H394,MAX(0,D394-G394)))</f>
        <v>0</v>
      </c>
    </row>
    <row r="395" spans="1:10" x14ac:dyDescent="0.25">
      <c r="A395">
        <v>392</v>
      </c>
      <c r="B395">
        <f t="shared" si="6"/>
        <v>33</v>
      </c>
      <c r="C395" s="28">
        <f>IF(A395&gt;'Immobilien-Kalkulation'!$B$70*12,0,IF(AND('Immobilien-Kalkulation'!$B$72=1,B395&gt;'Immobilien-Kalkulation'!$B$69),'Immobilien-Kalkulation'!$B$73,'Immobilien-Kalkulation'!$B$65))</f>
        <v>0</v>
      </c>
      <c r="D395" s="53">
        <f>IF(A395&gt;'Immobilien-Kalkulation'!$B$70*12,0,I394)</f>
        <v>0</v>
      </c>
      <c r="E395" s="53">
        <f>IF(OR(A395&gt;'Immobilien-Kalkulation'!$B$70*12,D395&lt;=0),0,IF(AND('Immobilien-Kalkulation'!$B$72=1,B395&gt;'Immobilien-Kalkulation'!$B$69),MIN(D395*C395/12+'Immobilien-Kalkulation'!$B$74/12,D395*(1+C395/12)),MIN('Immobilien-Kalkulation'!$B$67,D395*(1+C395/12))))</f>
        <v>0</v>
      </c>
      <c r="F395" s="53">
        <f>IF(OR(A395&gt;'Immobilien-Kalkulation'!$B$70*12,D395&lt;=0),0,D395*C395/12)</f>
        <v>0</v>
      </c>
      <c r="G395" s="53">
        <f>IF(OR(A395&gt;'Immobilien-Kalkulation'!$B$70*12,D395&lt;=0),0,MAX(0,MIN(D395,E395-F395)))</f>
        <v>0</v>
      </c>
      <c r="H395" s="95">
        <v>0</v>
      </c>
      <c r="I395" s="53">
        <f>IF(A395&gt;'Immobilien-Kalkulation'!$B$70*12,0,MAX(0,D395-G395-J395))</f>
        <v>0</v>
      </c>
      <c r="J395" s="53">
        <f>IF(OR(A395&gt;'Immobilien-Kalkulation'!$B$70*12,D395&lt;=0),0,MIN(H395,MAX(0,D395-G395)))</f>
        <v>0</v>
      </c>
    </row>
    <row r="396" spans="1:10" x14ac:dyDescent="0.25">
      <c r="A396">
        <v>393</v>
      </c>
      <c r="B396">
        <f t="shared" si="6"/>
        <v>33</v>
      </c>
      <c r="C396" s="28">
        <f>IF(A396&gt;'Immobilien-Kalkulation'!$B$70*12,0,IF(AND('Immobilien-Kalkulation'!$B$72=1,B396&gt;'Immobilien-Kalkulation'!$B$69),'Immobilien-Kalkulation'!$B$73,'Immobilien-Kalkulation'!$B$65))</f>
        <v>0</v>
      </c>
      <c r="D396" s="53">
        <f>IF(A396&gt;'Immobilien-Kalkulation'!$B$70*12,0,I395)</f>
        <v>0</v>
      </c>
      <c r="E396" s="53">
        <f>IF(OR(A396&gt;'Immobilien-Kalkulation'!$B$70*12,D396&lt;=0),0,IF(AND('Immobilien-Kalkulation'!$B$72=1,B396&gt;'Immobilien-Kalkulation'!$B$69),MIN(D396*C396/12+'Immobilien-Kalkulation'!$B$74/12,D396*(1+C396/12)),MIN('Immobilien-Kalkulation'!$B$67,D396*(1+C396/12))))</f>
        <v>0</v>
      </c>
      <c r="F396" s="53">
        <f>IF(OR(A396&gt;'Immobilien-Kalkulation'!$B$70*12,D396&lt;=0),0,D396*C396/12)</f>
        <v>0</v>
      </c>
      <c r="G396" s="53">
        <f>IF(OR(A396&gt;'Immobilien-Kalkulation'!$B$70*12,D396&lt;=0),0,MAX(0,MIN(D396,E396-F396)))</f>
        <v>0</v>
      </c>
      <c r="H396" s="95">
        <v>0</v>
      </c>
      <c r="I396" s="53">
        <f>IF(A396&gt;'Immobilien-Kalkulation'!$B$70*12,0,MAX(0,D396-G396-J396))</f>
        <v>0</v>
      </c>
      <c r="J396" s="53">
        <f>IF(OR(A396&gt;'Immobilien-Kalkulation'!$B$70*12,D396&lt;=0),0,MIN(H396,MAX(0,D396-G396)))</f>
        <v>0</v>
      </c>
    </row>
    <row r="397" spans="1:10" x14ac:dyDescent="0.25">
      <c r="A397">
        <v>394</v>
      </c>
      <c r="B397">
        <f t="shared" si="6"/>
        <v>33</v>
      </c>
      <c r="C397" s="28">
        <f>IF(A397&gt;'Immobilien-Kalkulation'!$B$70*12,0,IF(AND('Immobilien-Kalkulation'!$B$72=1,B397&gt;'Immobilien-Kalkulation'!$B$69),'Immobilien-Kalkulation'!$B$73,'Immobilien-Kalkulation'!$B$65))</f>
        <v>0</v>
      </c>
      <c r="D397" s="53">
        <f>IF(A397&gt;'Immobilien-Kalkulation'!$B$70*12,0,I396)</f>
        <v>0</v>
      </c>
      <c r="E397" s="53">
        <f>IF(OR(A397&gt;'Immobilien-Kalkulation'!$B$70*12,D397&lt;=0),0,IF(AND('Immobilien-Kalkulation'!$B$72=1,B397&gt;'Immobilien-Kalkulation'!$B$69),MIN(D397*C397/12+'Immobilien-Kalkulation'!$B$74/12,D397*(1+C397/12)),MIN('Immobilien-Kalkulation'!$B$67,D397*(1+C397/12))))</f>
        <v>0</v>
      </c>
      <c r="F397" s="53">
        <f>IF(OR(A397&gt;'Immobilien-Kalkulation'!$B$70*12,D397&lt;=0),0,D397*C397/12)</f>
        <v>0</v>
      </c>
      <c r="G397" s="53">
        <f>IF(OR(A397&gt;'Immobilien-Kalkulation'!$B$70*12,D397&lt;=0),0,MAX(0,MIN(D397,E397-F397)))</f>
        <v>0</v>
      </c>
      <c r="H397" s="95">
        <v>0</v>
      </c>
      <c r="I397" s="53">
        <f>IF(A397&gt;'Immobilien-Kalkulation'!$B$70*12,0,MAX(0,D397-G397-J397))</f>
        <v>0</v>
      </c>
      <c r="J397" s="53">
        <f>IF(OR(A397&gt;'Immobilien-Kalkulation'!$B$70*12,D397&lt;=0),0,MIN(H397,MAX(0,D397-G397)))</f>
        <v>0</v>
      </c>
    </row>
    <row r="398" spans="1:10" x14ac:dyDescent="0.25">
      <c r="A398">
        <v>395</v>
      </c>
      <c r="B398">
        <f t="shared" si="6"/>
        <v>33</v>
      </c>
      <c r="C398" s="28">
        <f>IF(A398&gt;'Immobilien-Kalkulation'!$B$70*12,0,IF(AND('Immobilien-Kalkulation'!$B$72=1,B398&gt;'Immobilien-Kalkulation'!$B$69),'Immobilien-Kalkulation'!$B$73,'Immobilien-Kalkulation'!$B$65))</f>
        <v>0</v>
      </c>
      <c r="D398" s="53">
        <f>IF(A398&gt;'Immobilien-Kalkulation'!$B$70*12,0,I397)</f>
        <v>0</v>
      </c>
      <c r="E398" s="53">
        <f>IF(OR(A398&gt;'Immobilien-Kalkulation'!$B$70*12,D398&lt;=0),0,IF(AND('Immobilien-Kalkulation'!$B$72=1,B398&gt;'Immobilien-Kalkulation'!$B$69),MIN(D398*C398/12+'Immobilien-Kalkulation'!$B$74/12,D398*(1+C398/12)),MIN('Immobilien-Kalkulation'!$B$67,D398*(1+C398/12))))</f>
        <v>0</v>
      </c>
      <c r="F398" s="53">
        <f>IF(OR(A398&gt;'Immobilien-Kalkulation'!$B$70*12,D398&lt;=0),0,D398*C398/12)</f>
        <v>0</v>
      </c>
      <c r="G398" s="53">
        <f>IF(OR(A398&gt;'Immobilien-Kalkulation'!$B$70*12,D398&lt;=0),0,MAX(0,MIN(D398,E398-F398)))</f>
        <v>0</v>
      </c>
      <c r="H398" s="95">
        <v>0</v>
      </c>
      <c r="I398" s="53">
        <f>IF(A398&gt;'Immobilien-Kalkulation'!$B$70*12,0,MAX(0,D398-G398-J398))</f>
        <v>0</v>
      </c>
      <c r="J398" s="53">
        <f>IF(OR(A398&gt;'Immobilien-Kalkulation'!$B$70*12,D398&lt;=0),0,MIN(H398,MAX(0,D398-G398)))</f>
        <v>0</v>
      </c>
    </row>
    <row r="399" spans="1:10" x14ac:dyDescent="0.25">
      <c r="A399">
        <v>396</v>
      </c>
      <c r="B399">
        <f t="shared" si="6"/>
        <v>33</v>
      </c>
      <c r="C399" s="28">
        <f>IF(A399&gt;'Immobilien-Kalkulation'!$B$70*12,0,IF(AND('Immobilien-Kalkulation'!$B$72=1,B399&gt;'Immobilien-Kalkulation'!$B$69),'Immobilien-Kalkulation'!$B$73,'Immobilien-Kalkulation'!$B$65))</f>
        <v>0</v>
      </c>
      <c r="D399" s="53">
        <f>IF(A399&gt;'Immobilien-Kalkulation'!$B$70*12,0,I398)</f>
        <v>0</v>
      </c>
      <c r="E399" s="53">
        <f>IF(OR(A399&gt;'Immobilien-Kalkulation'!$B$70*12,D399&lt;=0),0,IF(AND('Immobilien-Kalkulation'!$B$72=1,B399&gt;'Immobilien-Kalkulation'!$B$69),MIN(D399*C399/12+'Immobilien-Kalkulation'!$B$74/12,D399*(1+C399/12)),MIN('Immobilien-Kalkulation'!$B$67,D399*(1+C399/12))))</f>
        <v>0</v>
      </c>
      <c r="F399" s="53">
        <f>IF(OR(A399&gt;'Immobilien-Kalkulation'!$B$70*12,D399&lt;=0),0,D399*C399/12)</f>
        <v>0</v>
      </c>
      <c r="G399" s="53">
        <f>IF(OR(A399&gt;'Immobilien-Kalkulation'!$B$70*12,D399&lt;=0),0,MAX(0,MIN(D399,E399-F399)))</f>
        <v>0</v>
      </c>
      <c r="H399" s="95">
        <v>0</v>
      </c>
      <c r="I399" s="53">
        <f>IF(A399&gt;'Immobilien-Kalkulation'!$B$70*12,0,MAX(0,D399-G399-J399))</f>
        <v>0</v>
      </c>
      <c r="J399" s="53">
        <f>IF(OR(A399&gt;'Immobilien-Kalkulation'!$B$70*12,D399&lt;=0),0,MIN(H399,MAX(0,D399-G399)))</f>
        <v>0</v>
      </c>
    </row>
    <row r="400" spans="1:10" x14ac:dyDescent="0.25">
      <c r="A400">
        <v>397</v>
      </c>
      <c r="B400">
        <f t="shared" si="6"/>
        <v>34</v>
      </c>
      <c r="C400" s="28">
        <f>IF(A400&gt;'Immobilien-Kalkulation'!$B$70*12,0,IF(AND('Immobilien-Kalkulation'!$B$72=1,B400&gt;'Immobilien-Kalkulation'!$B$69),'Immobilien-Kalkulation'!$B$73,'Immobilien-Kalkulation'!$B$65))</f>
        <v>0</v>
      </c>
      <c r="D400" s="53">
        <f>IF(A400&gt;'Immobilien-Kalkulation'!$B$70*12,0,I399)</f>
        <v>0</v>
      </c>
      <c r="E400" s="53">
        <f>IF(OR(A400&gt;'Immobilien-Kalkulation'!$B$70*12,D400&lt;=0),0,IF(AND('Immobilien-Kalkulation'!$B$72=1,B400&gt;'Immobilien-Kalkulation'!$B$69),MIN(D400*C400/12+'Immobilien-Kalkulation'!$B$74/12,D400*(1+C400/12)),MIN('Immobilien-Kalkulation'!$B$67,D400*(1+C400/12))))</f>
        <v>0</v>
      </c>
      <c r="F400" s="53">
        <f>IF(OR(A400&gt;'Immobilien-Kalkulation'!$B$70*12,D400&lt;=0),0,D400*C400/12)</f>
        <v>0</v>
      </c>
      <c r="G400" s="53">
        <f>IF(OR(A400&gt;'Immobilien-Kalkulation'!$B$70*12,D400&lt;=0),0,MAX(0,MIN(D400,E400-F400)))</f>
        <v>0</v>
      </c>
      <c r="H400" s="95">
        <v>0</v>
      </c>
      <c r="I400" s="53">
        <f>IF(A400&gt;'Immobilien-Kalkulation'!$B$70*12,0,MAX(0,D400-G400-J400))</f>
        <v>0</v>
      </c>
      <c r="J400" s="53">
        <f>IF(OR(A400&gt;'Immobilien-Kalkulation'!$B$70*12,D400&lt;=0),0,MIN(H400,MAX(0,D400-G400)))</f>
        <v>0</v>
      </c>
    </row>
    <row r="401" spans="1:10" x14ac:dyDescent="0.25">
      <c r="A401">
        <v>398</v>
      </c>
      <c r="B401">
        <f t="shared" si="6"/>
        <v>34</v>
      </c>
      <c r="C401" s="28">
        <f>IF(A401&gt;'Immobilien-Kalkulation'!$B$70*12,0,IF(AND('Immobilien-Kalkulation'!$B$72=1,B401&gt;'Immobilien-Kalkulation'!$B$69),'Immobilien-Kalkulation'!$B$73,'Immobilien-Kalkulation'!$B$65))</f>
        <v>0</v>
      </c>
      <c r="D401" s="53">
        <f>IF(A401&gt;'Immobilien-Kalkulation'!$B$70*12,0,I400)</f>
        <v>0</v>
      </c>
      <c r="E401" s="53">
        <f>IF(OR(A401&gt;'Immobilien-Kalkulation'!$B$70*12,D401&lt;=0),0,IF(AND('Immobilien-Kalkulation'!$B$72=1,B401&gt;'Immobilien-Kalkulation'!$B$69),MIN(D401*C401/12+'Immobilien-Kalkulation'!$B$74/12,D401*(1+C401/12)),MIN('Immobilien-Kalkulation'!$B$67,D401*(1+C401/12))))</f>
        <v>0</v>
      </c>
      <c r="F401" s="53">
        <f>IF(OR(A401&gt;'Immobilien-Kalkulation'!$B$70*12,D401&lt;=0),0,D401*C401/12)</f>
        <v>0</v>
      </c>
      <c r="G401" s="53">
        <f>IF(OR(A401&gt;'Immobilien-Kalkulation'!$B$70*12,D401&lt;=0),0,MAX(0,MIN(D401,E401-F401)))</f>
        <v>0</v>
      </c>
      <c r="H401" s="95">
        <v>0</v>
      </c>
      <c r="I401" s="53">
        <f>IF(A401&gt;'Immobilien-Kalkulation'!$B$70*12,0,MAX(0,D401-G401-J401))</f>
        <v>0</v>
      </c>
      <c r="J401" s="53">
        <f>IF(OR(A401&gt;'Immobilien-Kalkulation'!$B$70*12,D401&lt;=0),0,MIN(H401,MAX(0,D401-G401)))</f>
        <v>0</v>
      </c>
    </row>
    <row r="402" spans="1:10" x14ac:dyDescent="0.25">
      <c r="A402">
        <v>399</v>
      </c>
      <c r="B402">
        <f t="shared" si="6"/>
        <v>34</v>
      </c>
      <c r="C402" s="28">
        <f>IF(A402&gt;'Immobilien-Kalkulation'!$B$70*12,0,IF(AND('Immobilien-Kalkulation'!$B$72=1,B402&gt;'Immobilien-Kalkulation'!$B$69),'Immobilien-Kalkulation'!$B$73,'Immobilien-Kalkulation'!$B$65))</f>
        <v>0</v>
      </c>
      <c r="D402" s="53">
        <f>IF(A402&gt;'Immobilien-Kalkulation'!$B$70*12,0,I401)</f>
        <v>0</v>
      </c>
      <c r="E402" s="53">
        <f>IF(OR(A402&gt;'Immobilien-Kalkulation'!$B$70*12,D402&lt;=0),0,IF(AND('Immobilien-Kalkulation'!$B$72=1,B402&gt;'Immobilien-Kalkulation'!$B$69),MIN(D402*C402/12+'Immobilien-Kalkulation'!$B$74/12,D402*(1+C402/12)),MIN('Immobilien-Kalkulation'!$B$67,D402*(1+C402/12))))</f>
        <v>0</v>
      </c>
      <c r="F402" s="53">
        <f>IF(OR(A402&gt;'Immobilien-Kalkulation'!$B$70*12,D402&lt;=0),0,D402*C402/12)</f>
        <v>0</v>
      </c>
      <c r="G402" s="53">
        <f>IF(OR(A402&gt;'Immobilien-Kalkulation'!$B$70*12,D402&lt;=0),0,MAX(0,MIN(D402,E402-F402)))</f>
        <v>0</v>
      </c>
      <c r="H402" s="95">
        <v>0</v>
      </c>
      <c r="I402" s="53">
        <f>IF(A402&gt;'Immobilien-Kalkulation'!$B$70*12,0,MAX(0,D402-G402-J402))</f>
        <v>0</v>
      </c>
      <c r="J402" s="53">
        <f>IF(OR(A402&gt;'Immobilien-Kalkulation'!$B$70*12,D402&lt;=0),0,MIN(H402,MAX(0,D402-G402)))</f>
        <v>0</v>
      </c>
    </row>
    <row r="403" spans="1:10" x14ac:dyDescent="0.25">
      <c r="A403">
        <v>400</v>
      </c>
      <c r="B403">
        <f t="shared" si="6"/>
        <v>34</v>
      </c>
      <c r="C403" s="28">
        <f>IF(A403&gt;'Immobilien-Kalkulation'!$B$70*12,0,IF(AND('Immobilien-Kalkulation'!$B$72=1,B403&gt;'Immobilien-Kalkulation'!$B$69),'Immobilien-Kalkulation'!$B$73,'Immobilien-Kalkulation'!$B$65))</f>
        <v>0</v>
      </c>
      <c r="D403" s="53">
        <f>IF(A403&gt;'Immobilien-Kalkulation'!$B$70*12,0,I402)</f>
        <v>0</v>
      </c>
      <c r="E403" s="53">
        <f>IF(OR(A403&gt;'Immobilien-Kalkulation'!$B$70*12,D403&lt;=0),0,IF(AND('Immobilien-Kalkulation'!$B$72=1,B403&gt;'Immobilien-Kalkulation'!$B$69),MIN(D403*C403/12+'Immobilien-Kalkulation'!$B$74/12,D403*(1+C403/12)),MIN('Immobilien-Kalkulation'!$B$67,D403*(1+C403/12))))</f>
        <v>0</v>
      </c>
      <c r="F403" s="53">
        <f>IF(OR(A403&gt;'Immobilien-Kalkulation'!$B$70*12,D403&lt;=0),0,D403*C403/12)</f>
        <v>0</v>
      </c>
      <c r="G403" s="53">
        <f>IF(OR(A403&gt;'Immobilien-Kalkulation'!$B$70*12,D403&lt;=0),0,MAX(0,MIN(D403,E403-F403)))</f>
        <v>0</v>
      </c>
      <c r="H403" s="95">
        <v>0</v>
      </c>
      <c r="I403" s="53">
        <f>IF(A403&gt;'Immobilien-Kalkulation'!$B$70*12,0,MAX(0,D403-G403-J403))</f>
        <v>0</v>
      </c>
      <c r="J403" s="53">
        <f>IF(OR(A403&gt;'Immobilien-Kalkulation'!$B$70*12,D403&lt;=0),0,MIN(H403,MAX(0,D403-G403)))</f>
        <v>0</v>
      </c>
    </row>
    <row r="404" spans="1:10" x14ac:dyDescent="0.25">
      <c r="A404">
        <v>401</v>
      </c>
      <c r="B404">
        <f t="shared" si="6"/>
        <v>34</v>
      </c>
      <c r="C404" s="28">
        <f>IF(A404&gt;'Immobilien-Kalkulation'!$B$70*12,0,IF(AND('Immobilien-Kalkulation'!$B$72=1,B404&gt;'Immobilien-Kalkulation'!$B$69),'Immobilien-Kalkulation'!$B$73,'Immobilien-Kalkulation'!$B$65))</f>
        <v>0</v>
      </c>
      <c r="D404" s="53">
        <f>IF(A404&gt;'Immobilien-Kalkulation'!$B$70*12,0,I403)</f>
        <v>0</v>
      </c>
      <c r="E404" s="53">
        <f>IF(OR(A404&gt;'Immobilien-Kalkulation'!$B$70*12,D404&lt;=0),0,IF(AND('Immobilien-Kalkulation'!$B$72=1,B404&gt;'Immobilien-Kalkulation'!$B$69),MIN(D404*C404/12+'Immobilien-Kalkulation'!$B$74/12,D404*(1+C404/12)),MIN('Immobilien-Kalkulation'!$B$67,D404*(1+C404/12))))</f>
        <v>0</v>
      </c>
      <c r="F404" s="53">
        <f>IF(OR(A404&gt;'Immobilien-Kalkulation'!$B$70*12,D404&lt;=0),0,D404*C404/12)</f>
        <v>0</v>
      </c>
      <c r="G404" s="53">
        <f>IF(OR(A404&gt;'Immobilien-Kalkulation'!$B$70*12,D404&lt;=0),0,MAX(0,MIN(D404,E404-F404)))</f>
        <v>0</v>
      </c>
      <c r="H404" s="95">
        <v>0</v>
      </c>
      <c r="I404" s="53">
        <f>IF(A404&gt;'Immobilien-Kalkulation'!$B$70*12,0,MAX(0,D404-G404-J404))</f>
        <v>0</v>
      </c>
      <c r="J404" s="53">
        <f>IF(OR(A404&gt;'Immobilien-Kalkulation'!$B$70*12,D404&lt;=0),0,MIN(H404,MAX(0,D404-G404)))</f>
        <v>0</v>
      </c>
    </row>
    <row r="405" spans="1:10" x14ac:dyDescent="0.25">
      <c r="A405">
        <v>402</v>
      </c>
      <c r="B405">
        <f t="shared" si="6"/>
        <v>34</v>
      </c>
      <c r="C405" s="28">
        <f>IF(A405&gt;'Immobilien-Kalkulation'!$B$70*12,0,IF(AND('Immobilien-Kalkulation'!$B$72=1,B405&gt;'Immobilien-Kalkulation'!$B$69),'Immobilien-Kalkulation'!$B$73,'Immobilien-Kalkulation'!$B$65))</f>
        <v>0</v>
      </c>
      <c r="D405" s="53">
        <f>IF(A405&gt;'Immobilien-Kalkulation'!$B$70*12,0,I404)</f>
        <v>0</v>
      </c>
      <c r="E405" s="53">
        <f>IF(OR(A405&gt;'Immobilien-Kalkulation'!$B$70*12,D405&lt;=0),0,IF(AND('Immobilien-Kalkulation'!$B$72=1,B405&gt;'Immobilien-Kalkulation'!$B$69),MIN(D405*C405/12+'Immobilien-Kalkulation'!$B$74/12,D405*(1+C405/12)),MIN('Immobilien-Kalkulation'!$B$67,D405*(1+C405/12))))</f>
        <v>0</v>
      </c>
      <c r="F405" s="53">
        <f>IF(OR(A405&gt;'Immobilien-Kalkulation'!$B$70*12,D405&lt;=0),0,D405*C405/12)</f>
        <v>0</v>
      </c>
      <c r="G405" s="53">
        <f>IF(OR(A405&gt;'Immobilien-Kalkulation'!$B$70*12,D405&lt;=0),0,MAX(0,MIN(D405,E405-F405)))</f>
        <v>0</v>
      </c>
      <c r="H405" s="95">
        <v>0</v>
      </c>
      <c r="I405" s="53">
        <f>IF(A405&gt;'Immobilien-Kalkulation'!$B$70*12,0,MAX(0,D405-G405-J405))</f>
        <v>0</v>
      </c>
      <c r="J405" s="53">
        <f>IF(OR(A405&gt;'Immobilien-Kalkulation'!$B$70*12,D405&lt;=0),0,MIN(H405,MAX(0,D405-G405)))</f>
        <v>0</v>
      </c>
    </row>
    <row r="406" spans="1:10" x14ac:dyDescent="0.25">
      <c r="A406">
        <v>403</v>
      </c>
      <c r="B406">
        <f t="shared" si="6"/>
        <v>34</v>
      </c>
      <c r="C406" s="28">
        <f>IF(A406&gt;'Immobilien-Kalkulation'!$B$70*12,0,IF(AND('Immobilien-Kalkulation'!$B$72=1,B406&gt;'Immobilien-Kalkulation'!$B$69),'Immobilien-Kalkulation'!$B$73,'Immobilien-Kalkulation'!$B$65))</f>
        <v>0</v>
      </c>
      <c r="D406" s="53">
        <f>IF(A406&gt;'Immobilien-Kalkulation'!$B$70*12,0,I405)</f>
        <v>0</v>
      </c>
      <c r="E406" s="53">
        <f>IF(OR(A406&gt;'Immobilien-Kalkulation'!$B$70*12,D406&lt;=0),0,IF(AND('Immobilien-Kalkulation'!$B$72=1,B406&gt;'Immobilien-Kalkulation'!$B$69),MIN(D406*C406/12+'Immobilien-Kalkulation'!$B$74/12,D406*(1+C406/12)),MIN('Immobilien-Kalkulation'!$B$67,D406*(1+C406/12))))</f>
        <v>0</v>
      </c>
      <c r="F406" s="53">
        <f>IF(OR(A406&gt;'Immobilien-Kalkulation'!$B$70*12,D406&lt;=0),0,D406*C406/12)</f>
        <v>0</v>
      </c>
      <c r="G406" s="53">
        <f>IF(OR(A406&gt;'Immobilien-Kalkulation'!$B$70*12,D406&lt;=0),0,MAX(0,MIN(D406,E406-F406)))</f>
        <v>0</v>
      </c>
      <c r="H406" s="95">
        <v>0</v>
      </c>
      <c r="I406" s="53">
        <f>IF(A406&gt;'Immobilien-Kalkulation'!$B$70*12,0,MAX(0,D406-G406-J406))</f>
        <v>0</v>
      </c>
      <c r="J406" s="53">
        <f>IF(OR(A406&gt;'Immobilien-Kalkulation'!$B$70*12,D406&lt;=0),0,MIN(H406,MAX(0,D406-G406)))</f>
        <v>0</v>
      </c>
    </row>
    <row r="407" spans="1:10" x14ac:dyDescent="0.25">
      <c r="A407">
        <v>404</v>
      </c>
      <c r="B407">
        <f t="shared" si="6"/>
        <v>34</v>
      </c>
      <c r="C407" s="28">
        <f>IF(A407&gt;'Immobilien-Kalkulation'!$B$70*12,0,IF(AND('Immobilien-Kalkulation'!$B$72=1,B407&gt;'Immobilien-Kalkulation'!$B$69),'Immobilien-Kalkulation'!$B$73,'Immobilien-Kalkulation'!$B$65))</f>
        <v>0</v>
      </c>
      <c r="D407" s="53">
        <f>IF(A407&gt;'Immobilien-Kalkulation'!$B$70*12,0,I406)</f>
        <v>0</v>
      </c>
      <c r="E407" s="53">
        <f>IF(OR(A407&gt;'Immobilien-Kalkulation'!$B$70*12,D407&lt;=0),0,IF(AND('Immobilien-Kalkulation'!$B$72=1,B407&gt;'Immobilien-Kalkulation'!$B$69),MIN(D407*C407/12+'Immobilien-Kalkulation'!$B$74/12,D407*(1+C407/12)),MIN('Immobilien-Kalkulation'!$B$67,D407*(1+C407/12))))</f>
        <v>0</v>
      </c>
      <c r="F407" s="53">
        <f>IF(OR(A407&gt;'Immobilien-Kalkulation'!$B$70*12,D407&lt;=0),0,D407*C407/12)</f>
        <v>0</v>
      </c>
      <c r="G407" s="53">
        <f>IF(OR(A407&gt;'Immobilien-Kalkulation'!$B$70*12,D407&lt;=0),0,MAX(0,MIN(D407,E407-F407)))</f>
        <v>0</v>
      </c>
      <c r="H407" s="95">
        <v>0</v>
      </c>
      <c r="I407" s="53">
        <f>IF(A407&gt;'Immobilien-Kalkulation'!$B$70*12,0,MAX(0,D407-G407-J407))</f>
        <v>0</v>
      </c>
      <c r="J407" s="53">
        <f>IF(OR(A407&gt;'Immobilien-Kalkulation'!$B$70*12,D407&lt;=0),0,MIN(H407,MAX(0,D407-G407)))</f>
        <v>0</v>
      </c>
    </row>
    <row r="408" spans="1:10" x14ac:dyDescent="0.25">
      <c r="A408">
        <v>405</v>
      </c>
      <c r="B408">
        <f t="shared" si="6"/>
        <v>34</v>
      </c>
      <c r="C408" s="28">
        <f>IF(A408&gt;'Immobilien-Kalkulation'!$B$70*12,0,IF(AND('Immobilien-Kalkulation'!$B$72=1,B408&gt;'Immobilien-Kalkulation'!$B$69),'Immobilien-Kalkulation'!$B$73,'Immobilien-Kalkulation'!$B$65))</f>
        <v>0</v>
      </c>
      <c r="D408" s="53">
        <f>IF(A408&gt;'Immobilien-Kalkulation'!$B$70*12,0,I407)</f>
        <v>0</v>
      </c>
      <c r="E408" s="53">
        <f>IF(OR(A408&gt;'Immobilien-Kalkulation'!$B$70*12,D408&lt;=0),0,IF(AND('Immobilien-Kalkulation'!$B$72=1,B408&gt;'Immobilien-Kalkulation'!$B$69),MIN(D408*C408/12+'Immobilien-Kalkulation'!$B$74/12,D408*(1+C408/12)),MIN('Immobilien-Kalkulation'!$B$67,D408*(1+C408/12))))</f>
        <v>0</v>
      </c>
      <c r="F408" s="53">
        <f>IF(OR(A408&gt;'Immobilien-Kalkulation'!$B$70*12,D408&lt;=0),0,D408*C408/12)</f>
        <v>0</v>
      </c>
      <c r="G408" s="53">
        <f>IF(OR(A408&gt;'Immobilien-Kalkulation'!$B$70*12,D408&lt;=0),0,MAX(0,MIN(D408,E408-F408)))</f>
        <v>0</v>
      </c>
      <c r="H408" s="95">
        <v>0</v>
      </c>
      <c r="I408" s="53">
        <f>IF(A408&gt;'Immobilien-Kalkulation'!$B$70*12,0,MAX(0,D408-G408-J408))</f>
        <v>0</v>
      </c>
      <c r="J408" s="53">
        <f>IF(OR(A408&gt;'Immobilien-Kalkulation'!$B$70*12,D408&lt;=0),0,MIN(H408,MAX(0,D408-G408)))</f>
        <v>0</v>
      </c>
    </row>
    <row r="409" spans="1:10" x14ac:dyDescent="0.25">
      <c r="A409">
        <v>406</v>
      </c>
      <c r="B409">
        <f t="shared" si="6"/>
        <v>34</v>
      </c>
      <c r="C409" s="28">
        <f>IF(A409&gt;'Immobilien-Kalkulation'!$B$70*12,0,IF(AND('Immobilien-Kalkulation'!$B$72=1,B409&gt;'Immobilien-Kalkulation'!$B$69),'Immobilien-Kalkulation'!$B$73,'Immobilien-Kalkulation'!$B$65))</f>
        <v>0</v>
      </c>
      <c r="D409" s="53">
        <f>IF(A409&gt;'Immobilien-Kalkulation'!$B$70*12,0,I408)</f>
        <v>0</v>
      </c>
      <c r="E409" s="53">
        <f>IF(OR(A409&gt;'Immobilien-Kalkulation'!$B$70*12,D409&lt;=0),0,IF(AND('Immobilien-Kalkulation'!$B$72=1,B409&gt;'Immobilien-Kalkulation'!$B$69),MIN(D409*C409/12+'Immobilien-Kalkulation'!$B$74/12,D409*(1+C409/12)),MIN('Immobilien-Kalkulation'!$B$67,D409*(1+C409/12))))</f>
        <v>0</v>
      </c>
      <c r="F409" s="53">
        <f>IF(OR(A409&gt;'Immobilien-Kalkulation'!$B$70*12,D409&lt;=0),0,D409*C409/12)</f>
        <v>0</v>
      </c>
      <c r="G409" s="53">
        <f>IF(OR(A409&gt;'Immobilien-Kalkulation'!$B$70*12,D409&lt;=0),0,MAX(0,MIN(D409,E409-F409)))</f>
        <v>0</v>
      </c>
      <c r="H409" s="95">
        <v>0</v>
      </c>
      <c r="I409" s="53">
        <f>IF(A409&gt;'Immobilien-Kalkulation'!$B$70*12,0,MAX(0,D409-G409-J409))</f>
        <v>0</v>
      </c>
      <c r="J409" s="53">
        <f>IF(OR(A409&gt;'Immobilien-Kalkulation'!$B$70*12,D409&lt;=0),0,MIN(H409,MAX(0,D409-G409)))</f>
        <v>0</v>
      </c>
    </row>
    <row r="410" spans="1:10" x14ac:dyDescent="0.25">
      <c r="A410">
        <v>407</v>
      </c>
      <c r="B410">
        <f t="shared" si="6"/>
        <v>34</v>
      </c>
      <c r="C410" s="28">
        <f>IF(A410&gt;'Immobilien-Kalkulation'!$B$70*12,0,IF(AND('Immobilien-Kalkulation'!$B$72=1,B410&gt;'Immobilien-Kalkulation'!$B$69),'Immobilien-Kalkulation'!$B$73,'Immobilien-Kalkulation'!$B$65))</f>
        <v>0</v>
      </c>
      <c r="D410" s="53">
        <f>IF(A410&gt;'Immobilien-Kalkulation'!$B$70*12,0,I409)</f>
        <v>0</v>
      </c>
      <c r="E410" s="53">
        <f>IF(OR(A410&gt;'Immobilien-Kalkulation'!$B$70*12,D410&lt;=0),0,IF(AND('Immobilien-Kalkulation'!$B$72=1,B410&gt;'Immobilien-Kalkulation'!$B$69),MIN(D410*C410/12+'Immobilien-Kalkulation'!$B$74/12,D410*(1+C410/12)),MIN('Immobilien-Kalkulation'!$B$67,D410*(1+C410/12))))</f>
        <v>0</v>
      </c>
      <c r="F410" s="53">
        <f>IF(OR(A410&gt;'Immobilien-Kalkulation'!$B$70*12,D410&lt;=0),0,D410*C410/12)</f>
        <v>0</v>
      </c>
      <c r="G410" s="53">
        <f>IF(OR(A410&gt;'Immobilien-Kalkulation'!$B$70*12,D410&lt;=0),0,MAX(0,MIN(D410,E410-F410)))</f>
        <v>0</v>
      </c>
      <c r="H410" s="95">
        <v>0</v>
      </c>
      <c r="I410" s="53">
        <f>IF(A410&gt;'Immobilien-Kalkulation'!$B$70*12,0,MAX(0,D410-G410-J410))</f>
        <v>0</v>
      </c>
      <c r="J410" s="53">
        <f>IF(OR(A410&gt;'Immobilien-Kalkulation'!$B$70*12,D410&lt;=0),0,MIN(H410,MAX(0,D410-G410)))</f>
        <v>0</v>
      </c>
    </row>
    <row r="411" spans="1:10" x14ac:dyDescent="0.25">
      <c r="A411">
        <v>408</v>
      </c>
      <c r="B411">
        <f t="shared" si="6"/>
        <v>34</v>
      </c>
      <c r="C411" s="28">
        <f>IF(A411&gt;'Immobilien-Kalkulation'!$B$70*12,0,IF(AND('Immobilien-Kalkulation'!$B$72=1,B411&gt;'Immobilien-Kalkulation'!$B$69),'Immobilien-Kalkulation'!$B$73,'Immobilien-Kalkulation'!$B$65))</f>
        <v>0</v>
      </c>
      <c r="D411" s="53">
        <f>IF(A411&gt;'Immobilien-Kalkulation'!$B$70*12,0,I410)</f>
        <v>0</v>
      </c>
      <c r="E411" s="53">
        <f>IF(OR(A411&gt;'Immobilien-Kalkulation'!$B$70*12,D411&lt;=0),0,IF(AND('Immobilien-Kalkulation'!$B$72=1,B411&gt;'Immobilien-Kalkulation'!$B$69),MIN(D411*C411/12+'Immobilien-Kalkulation'!$B$74/12,D411*(1+C411/12)),MIN('Immobilien-Kalkulation'!$B$67,D411*(1+C411/12))))</f>
        <v>0</v>
      </c>
      <c r="F411" s="53">
        <f>IF(OR(A411&gt;'Immobilien-Kalkulation'!$B$70*12,D411&lt;=0),0,D411*C411/12)</f>
        <v>0</v>
      </c>
      <c r="G411" s="53">
        <f>IF(OR(A411&gt;'Immobilien-Kalkulation'!$B$70*12,D411&lt;=0),0,MAX(0,MIN(D411,E411-F411)))</f>
        <v>0</v>
      </c>
      <c r="H411" s="95">
        <v>0</v>
      </c>
      <c r="I411" s="53">
        <f>IF(A411&gt;'Immobilien-Kalkulation'!$B$70*12,0,MAX(0,D411-G411-J411))</f>
        <v>0</v>
      </c>
      <c r="J411" s="53">
        <f>IF(OR(A411&gt;'Immobilien-Kalkulation'!$B$70*12,D411&lt;=0),0,MIN(H411,MAX(0,D411-G411)))</f>
        <v>0</v>
      </c>
    </row>
    <row r="412" spans="1:10" x14ac:dyDescent="0.25">
      <c r="A412">
        <v>409</v>
      </c>
      <c r="B412">
        <f t="shared" si="6"/>
        <v>35</v>
      </c>
      <c r="C412" s="28">
        <f>IF(A412&gt;'Immobilien-Kalkulation'!$B$70*12,0,IF(AND('Immobilien-Kalkulation'!$B$72=1,B412&gt;'Immobilien-Kalkulation'!$B$69),'Immobilien-Kalkulation'!$B$73,'Immobilien-Kalkulation'!$B$65))</f>
        <v>0</v>
      </c>
      <c r="D412" s="53">
        <f>IF(A412&gt;'Immobilien-Kalkulation'!$B$70*12,0,I411)</f>
        <v>0</v>
      </c>
      <c r="E412" s="53">
        <f>IF(OR(A412&gt;'Immobilien-Kalkulation'!$B$70*12,D412&lt;=0),0,IF(AND('Immobilien-Kalkulation'!$B$72=1,B412&gt;'Immobilien-Kalkulation'!$B$69),MIN(D412*C412/12+'Immobilien-Kalkulation'!$B$74/12,D412*(1+C412/12)),MIN('Immobilien-Kalkulation'!$B$67,D412*(1+C412/12))))</f>
        <v>0</v>
      </c>
      <c r="F412" s="53">
        <f>IF(OR(A412&gt;'Immobilien-Kalkulation'!$B$70*12,D412&lt;=0),0,D412*C412/12)</f>
        <v>0</v>
      </c>
      <c r="G412" s="53">
        <f>IF(OR(A412&gt;'Immobilien-Kalkulation'!$B$70*12,D412&lt;=0),0,MAX(0,MIN(D412,E412-F412)))</f>
        <v>0</v>
      </c>
      <c r="H412" s="95">
        <v>0</v>
      </c>
      <c r="I412" s="53">
        <f>IF(A412&gt;'Immobilien-Kalkulation'!$B$70*12,0,MAX(0,D412-G412-J412))</f>
        <v>0</v>
      </c>
      <c r="J412" s="53">
        <f>IF(OR(A412&gt;'Immobilien-Kalkulation'!$B$70*12,D412&lt;=0),0,MIN(H412,MAX(0,D412-G412)))</f>
        <v>0</v>
      </c>
    </row>
    <row r="413" spans="1:10" x14ac:dyDescent="0.25">
      <c r="A413">
        <v>410</v>
      </c>
      <c r="B413">
        <f t="shared" si="6"/>
        <v>35</v>
      </c>
      <c r="C413" s="28">
        <f>IF(A413&gt;'Immobilien-Kalkulation'!$B$70*12,0,IF(AND('Immobilien-Kalkulation'!$B$72=1,B413&gt;'Immobilien-Kalkulation'!$B$69),'Immobilien-Kalkulation'!$B$73,'Immobilien-Kalkulation'!$B$65))</f>
        <v>0</v>
      </c>
      <c r="D413" s="53">
        <f>IF(A413&gt;'Immobilien-Kalkulation'!$B$70*12,0,I412)</f>
        <v>0</v>
      </c>
      <c r="E413" s="53">
        <f>IF(OR(A413&gt;'Immobilien-Kalkulation'!$B$70*12,D413&lt;=0),0,IF(AND('Immobilien-Kalkulation'!$B$72=1,B413&gt;'Immobilien-Kalkulation'!$B$69),MIN(D413*C413/12+'Immobilien-Kalkulation'!$B$74/12,D413*(1+C413/12)),MIN('Immobilien-Kalkulation'!$B$67,D413*(1+C413/12))))</f>
        <v>0</v>
      </c>
      <c r="F413" s="53">
        <f>IF(OR(A413&gt;'Immobilien-Kalkulation'!$B$70*12,D413&lt;=0),0,D413*C413/12)</f>
        <v>0</v>
      </c>
      <c r="G413" s="53">
        <f>IF(OR(A413&gt;'Immobilien-Kalkulation'!$B$70*12,D413&lt;=0),0,MAX(0,MIN(D413,E413-F413)))</f>
        <v>0</v>
      </c>
      <c r="H413" s="95">
        <v>0</v>
      </c>
      <c r="I413" s="53">
        <f>IF(A413&gt;'Immobilien-Kalkulation'!$B$70*12,0,MAX(0,D413-G413-J413))</f>
        <v>0</v>
      </c>
      <c r="J413" s="53">
        <f>IF(OR(A413&gt;'Immobilien-Kalkulation'!$B$70*12,D413&lt;=0),0,MIN(H413,MAX(0,D413-G413)))</f>
        <v>0</v>
      </c>
    </row>
    <row r="414" spans="1:10" x14ac:dyDescent="0.25">
      <c r="A414">
        <v>411</v>
      </c>
      <c r="B414">
        <f t="shared" si="6"/>
        <v>35</v>
      </c>
      <c r="C414" s="28">
        <f>IF(A414&gt;'Immobilien-Kalkulation'!$B$70*12,0,IF(AND('Immobilien-Kalkulation'!$B$72=1,B414&gt;'Immobilien-Kalkulation'!$B$69),'Immobilien-Kalkulation'!$B$73,'Immobilien-Kalkulation'!$B$65))</f>
        <v>0</v>
      </c>
      <c r="D414" s="53">
        <f>IF(A414&gt;'Immobilien-Kalkulation'!$B$70*12,0,I413)</f>
        <v>0</v>
      </c>
      <c r="E414" s="53">
        <f>IF(OR(A414&gt;'Immobilien-Kalkulation'!$B$70*12,D414&lt;=0),0,IF(AND('Immobilien-Kalkulation'!$B$72=1,B414&gt;'Immobilien-Kalkulation'!$B$69),MIN(D414*C414/12+'Immobilien-Kalkulation'!$B$74/12,D414*(1+C414/12)),MIN('Immobilien-Kalkulation'!$B$67,D414*(1+C414/12))))</f>
        <v>0</v>
      </c>
      <c r="F414" s="53">
        <f>IF(OR(A414&gt;'Immobilien-Kalkulation'!$B$70*12,D414&lt;=0),0,D414*C414/12)</f>
        <v>0</v>
      </c>
      <c r="G414" s="53">
        <f>IF(OR(A414&gt;'Immobilien-Kalkulation'!$B$70*12,D414&lt;=0),0,MAX(0,MIN(D414,E414-F414)))</f>
        <v>0</v>
      </c>
      <c r="H414" s="95">
        <v>0</v>
      </c>
      <c r="I414" s="53">
        <f>IF(A414&gt;'Immobilien-Kalkulation'!$B$70*12,0,MAX(0,D414-G414-J414))</f>
        <v>0</v>
      </c>
      <c r="J414" s="53">
        <f>IF(OR(A414&gt;'Immobilien-Kalkulation'!$B$70*12,D414&lt;=0),0,MIN(H414,MAX(0,D414-G414)))</f>
        <v>0</v>
      </c>
    </row>
    <row r="415" spans="1:10" x14ac:dyDescent="0.25">
      <c r="A415">
        <v>412</v>
      </c>
      <c r="B415">
        <f t="shared" si="6"/>
        <v>35</v>
      </c>
      <c r="C415" s="28">
        <f>IF(A415&gt;'Immobilien-Kalkulation'!$B$70*12,0,IF(AND('Immobilien-Kalkulation'!$B$72=1,B415&gt;'Immobilien-Kalkulation'!$B$69),'Immobilien-Kalkulation'!$B$73,'Immobilien-Kalkulation'!$B$65))</f>
        <v>0</v>
      </c>
      <c r="D415" s="53">
        <f>IF(A415&gt;'Immobilien-Kalkulation'!$B$70*12,0,I414)</f>
        <v>0</v>
      </c>
      <c r="E415" s="53">
        <f>IF(OR(A415&gt;'Immobilien-Kalkulation'!$B$70*12,D415&lt;=0),0,IF(AND('Immobilien-Kalkulation'!$B$72=1,B415&gt;'Immobilien-Kalkulation'!$B$69),MIN(D415*C415/12+'Immobilien-Kalkulation'!$B$74/12,D415*(1+C415/12)),MIN('Immobilien-Kalkulation'!$B$67,D415*(1+C415/12))))</f>
        <v>0</v>
      </c>
      <c r="F415" s="53">
        <f>IF(OR(A415&gt;'Immobilien-Kalkulation'!$B$70*12,D415&lt;=0),0,D415*C415/12)</f>
        <v>0</v>
      </c>
      <c r="G415" s="53">
        <f>IF(OR(A415&gt;'Immobilien-Kalkulation'!$B$70*12,D415&lt;=0),0,MAX(0,MIN(D415,E415-F415)))</f>
        <v>0</v>
      </c>
      <c r="H415" s="95">
        <v>0</v>
      </c>
      <c r="I415" s="53">
        <f>IF(A415&gt;'Immobilien-Kalkulation'!$B$70*12,0,MAX(0,D415-G415-J415))</f>
        <v>0</v>
      </c>
      <c r="J415" s="53">
        <f>IF(OR(A415&gt;'Immobilien-Kalkulation'!$B$70*12,D415&lt;=0),0,MIN(H415,MAX(0,D415-G415)))</f>
        <v>0</v>
      </c>
    </row>
    <row r="416" spans="1:10" x14ac:dyDescent="0.25">
      <c r="A416">
        <v>413</v>
      </c>
      <c r="B416">
        <f t="shared" si="6"/>
        <v>35</v>
      </c>
      <c r="C416" s="28">
        <f>IF(A416&gt;'Immobilien-Kalkulation'!$B$70*12,0,IF(AND('Immobilien-Kalkulation'!$B$72=1,B416&gt;'Immobilien-Kalkulation'!$B$69),'Immobilien-Kalkulation'!$B$73,'Immobilien-Kalkulation'!$B$65))</f>
        <v>0</v>
      </c>
      <c r="D416" s="53">
        <f>IF(A416&gt;'Immobilien-Kalkulation'!$B$70*12,0,I415)</f>
        <v>0</v>
      </c>
      <c r="E416" s="53">
        <f>IF(OR(A416&gt;'Immobilien-Kalkulation'!$B$70*12,D416&lt;=0),0,IF(AND('Immobilien-Kalkulation'!$B$72=1,B416&gt;'Immobilien-Kalkulation'!$B$69),MIN(D416*C416/12+'Immobilien-Kalkulation'!$B$74/12,D416*(1+C416/12)),MIN('Immobilien-Kalkulation'!$B$67,D416*(1+C416/12))))</f>
        <v>0</v>
      </c>
      <c r="F416" s="53">
        <f>IF(OR(A416&gt;'Immobilien-Kalkulation'!$B$70*12,D416&lt;=0),0,D416*C416/12)</f>
        <v>0</v>
      </c>
      <c r="G416" s="53">
        <f>IF(OR(A416&gt;'Immobilien-Kalkulation'!$B$70*12,D416&lt;=0),0,MAX(0,MIN(D416,E416-F416)))</f>
        <v>0</v>
      </c>
      <c r="H416" s="95">
        <v>0</v>
      </c>
      <c r="I416" s="53">
        <f>IF(A416&gt;'Immobilien-Kalkulation'!$B$70*12,0,MAX(0,D416-G416-J416))</f>
        <v>0</v>
      </c>
      <c r="J416" s="53">
        <f>IF(OR(A416&gt;'Immobilien-Kalkulation'!$B$70*12,D416&lt;=0),0,MIN(H416,MAX(0,D416-G416)))</f>
        <v>0</v>
      </c>
    </row>
    <row r="417" spans="1:10" x14ac:dyDescent="0.25">
      <c r="A417">
        <v>414</v>
      </c>
      <c r="B417">
        <f t="shared" si="6"/>
        <v>35</v>
      </c>
      <c r="C417" s="28">
        <f>IF(A417&gt;'Immobilien-Kalkulation'!$B$70*12,0,IF(AND('Immobilien-Kalkulation'!$B$72=1,B417&gt;'Immobilien-Kalkulation'!$B$69),'Immobilien-Kalkulation'!$B$73,'Immobilien-Kalkulation'!$B$65))</f>
        <v>0</v>
      </c>
      <c r="D417" s="53">
        <f>IF(A417&gt;'Immobilien-Kalkulation'!$B$70*12,0,I416)</f>
        <v>0</v>
      </c>
      <c r="E417" s="53">
        <f>IF(OR(A417&gt;'Immobilien-Kalkulation'!$B$70*12,D417&lt;=0),0,IF(AND('Immobilien-Kalkulation'!$B$72=1,B417&gt;'Immobilien-Kalkulation'!$B$69),MIN(D417*C417/12+'Immobilien-Kalkulation'!$B$74/12,D417*(1+C417/12)),MIN('Immobilien-Kalkulation'!$B$67,D417*(1+C417/12))))</f>
        <v>0</v>
      </c>
      <c r="F417" s="53">
        <f>IF(OR(A417&gt;'Immobilien-Kalkulation'!$B$70*12,D417&lt;=0),0,D417*C417/12)</f>
        <v>0</v>
      </c>
      <c r="G417" s="53">
        <f>IF(OR(A417&gt;'Immobilien-Kalkulation'!$B$70*12,D417&lt;=0),0,MAX(0,MIN(D417,E417-F417)))</f>
        <v>0</v>
      </c>
      <c r="H417" s="95">
        <v>0</v>
      </c>
      <c r="I417" s="53">
        <f>IF(A417&gt;'Immobilien-Kalkulation'!$B$70*12,0,MAX(0,D417-G417-J417))</f>
        <v>0</v>
      </c>
      <c r="J417" s="53">
        <f>IF(OR(A417&gt;'Immobilien-Kalkulation'!$B$70*12,D417&lt;=0),0,MIN(H417,MAX(0,D417-G417)))</f>
        <v>0</v>
      </c>
    </row>
    <row r="418" spans="1:10" x14ac:dyDescent="0.25">
      <c r="A418">
        <v>415</v>
      </c>
      <c r="B418">
        <f t="shared" si="6"/>
        <v>35</v>
      </c>
      <c r="C418" s="28">
        <f>IF(A418&gt;'Immobilien-Kalkulation'!$B$70*12,0,IF(AND('Immobilien-Kalkulation'!$B$72=1,B418&gt;'Immobilien-Kalkulation'!$B$69),'Immobilien-Kalkulation'!$B$73,'Immobilien-Kalkulation'!$B$65))</f>
        <v>0</v>
      </c>
      <c r="D418" s="53">
        <f>IF(A418&gt;'Immobilien-Kalkulation'!$B$70*12,0,I417)</f>
        <v>0</v>
      </c>
      <c r="E418" s="53">
        <f>IF(OR(A418&gt;'Immobilien-Kalkulation'!$B$70*12,D418&lt;=0),0,IF(AND('Immobilien-Kalkulation'!$B$72=1,B418&gt;'Immobilien-Kalkulation'!$B$69),MIN(D418*C418/12+'Immobilien-Kalkulation'!$B$74/12,D418*(1+C418/12)),MIN('Immobilien-Kalkulation'!$B$67,D418*(1+C418/12))))</f>
        <v>0</v>
      </c>
      <c r="F418" s="53">
        <f>IF(OR(A418&gt;'Immobilien-Kalkulation'!$B$70*12,D418&lt;=0),0,D418*C418/12)</f>
        <v>0</v>
      </c>
      <c r="G418" s="53">
        <f>IF(OR(A418&gt;'Immobilien-Kalkulation'!$B$70*12,D418&lt;=0),0,MAX(0,MIN(D418,E418-F418)))</f>
        <v>0</v>
      </c>
      <c r="H418" s="95">
        <v>0</v>
      </c>
      <c r="I418" s="53">
        <f>IF(A418&gt;'Immobilien-Kalkulation'!$B$70*12,0,MAX(0,D418-G418-J418))</f>
        <v>0</v>
      </c>
      <c r="J418" s="53">
        <f>IF(OR(A418&gt;'Immobilien-Kalkulation'!$B$70*12,D418&lt;=0),0,MIN(H418,MAX(0,D418-G418)))</f>
        <v>0</v>
      </c>
    </row>
    <row r="419" spans="1:10" x14ac:dyDescent="0.25">
      <c r="A419">
        <v>416</v>
      </c>
      <c r="B419">
        <f t="shared" si="6"/>
        <v>35</v>
      </c>
      <c r="C419" s="28">
        <f>IF(A419&gt;'Immobilien-Kalkulation'!$B$70*12,0,IF(AND('Immobilien-Kalkulation'!$B$72=1,B419&gt;'Immobilien-Kalkulation'!$B$69),'Immobilien-Kalkulation'!$B$73,'Immobilien-Kalkulation'!$B$65))</f>
        <v>0</v>
      </c>
      <c r="D419" s="53">
        <f>IF(A419&gt;'Immobilien-Kalkulation'!$B$70*12,0,I418)</f>
        <v>0</v>
      </c>
      <c r="E419" s="53">
        <f>IF(OR(A419&gt;'Immobilien-Kalkulation'!$B$70*12,D419&lt;=0),0,IF(AND('Immobilien-Kalkulation'!$B$72=1,B419&gt;'Immobilien-Kalkulation'!$B$69),MIN(D419*C419/12+'Immobilien-Kalkulation'!$B$74/12,D419*(1+C419/12)),MIN('Immobilien-Kalkulation'!$B$67,D419*(1+C419/12))))</f>
        <v>0</v>
      </c>
      <c r="F419" s="53">
        <f>IF(OR(A419&gt;'Immobilien-Kalkulation'!$B$70*12,D419&lt;=0),0,D419*C419/12)</f>
        <v>0</v>
      </c>
      <c r="G419" s="53">
        <f>IF(OR(A419&gt;'Immobilien-Kalkulation'!$B$70*12,D419&lt;=0),0,MAX(0,MIN(D419,E419-F419)))</f>
        <v>0</v>
      </c>
      <c r="H419" s="95">
        <v>0</v>
      </c>
      <c r="I419" s="53">
        <f>IF(A419&gt;'Immobilien-Kalkulation'!$B$70*12,0,MAX(0,D419-G419-J419))</f>
        <v>0</v>
      </c>
      <c r="J419" s="53">
        <f>IF(OR(A419&gt;'Immobilien-Kalkulation'!$B$70*12,D419&lt;=0),0,MIN(H419,MAX(0,D419-G419)))</f>
        <v>0</v>
      </c>
    </row>
    <row r="420" spans="1:10" x14ac:dyDescent="0.25">
      <c r="A420">
        <v>417</v>
      </c>
      <c r="B420">
        <f t="shared" si="6"/>
        <v>35</v>
      </c>
      <c r="C420" s="28">
        <f>IF(A420&gt;'Immobilien-Kalkulation'!$B$70*12,0,IF(AND('Immobilien-Kalkulation'!$B$72=1,B420&gt;'Immobilien-Kalkulation'!$B$69),'Immobilien-Kalkulation'!$B$73,'Immobilien-Kalkulation'!$B$65))</f>
        <v>0</v>
      </c>
      <c r="D420" s="53">
        <f>IF(A420&gt;'Immobilien-Kalkulation'!$B$70*12,0,I419)</f>
        <v>0</v>
      </c>
      <c r="E420" s="53">
        <f>IF(OR(A420&gt;'Immobilien-Kalkulation'!$B$70*12,D420&lt;=0),0,IF(AND('Immobilien-Kalkulation'!$B$72=1,B420&gt;'Immobilien-Kalkulation'!$B$69),MIN(D420*C420/12+'Immobilien-Kalkulation'!$B$74/12,D420*(1+C420/12)),MIN('Immobilien-Kalkulation'!$B$67,D420*(1+C420/12))))</f>
        <v>0</v>
      </c>
      <c r="F420" s="53">
        <f>IF(OR(A420&gt;'Immobilien-Kalkulation'!$B$70*12,D420&lt;=0),0,D420*C420/12)</f>
        <v>0</v>
      </c>
      <c r="G420" s="53">
        <f>IF(OR(A420&gt;'Immobilien-Kalkulation'!$B$70*12,D420&lt;=0),0,MAX(0,MIN(D420,E420-F420)))</f>
        <v>0</v>
      </c>
      <c r="H420" s="95">
        <v>0</v>
      </c>
      <c r="I420" s="53">
        <f>IF(A420&gt;'Immobilien-Kalkulation'!$B$70*12,0,MAX(0,D420-G420-J420))</f>
        <v>0</v>
      </c>
      <c r="J420" s="53">
        <f>IF(OR(A420&gt;'Immobilien-Kalkulation'!$B$70*12,D420&lt;=0),0,MIN(H420,MAX(0,D420-G420)))</f>
        <v>0</v>
      </c>
    </row>
    <row r="421" spans="1:10" x14ac:dyDescent="0.25">
      <c r="A421">
        <v>418</v>
      </c>
      <c r="B421">
        <f t="shared" si="6"/>
        <v>35</v>
      </c>
      <c r="C421" s="28">
        <f>IF(A421&gt;'Immobilien-Kalkulation'!$B$70*12,0,IF(AND('Immobilien-Kalkulation'!$B$72=1,B421&gt;'Immobilien-Kalkulation'!$B$69),'Immobilien-Kalkulation'!$B$73,'Immobilien-Kalkulation'!$B$65))</f>
        <v>0</v>
      </c>
      <c r="D421" s="53">
        <f>IF(A421&gt;'Immobilien-Kalkulation'!$B$70*12,0,I420)</f>
        <v>0</v>
      </c>
      <c r="E421" s="53">
        <f>IF(OR(A421&gt;'Immobilien-Kalkulation'!$B$70*12,D421&lt;=0),0,IF(AND('Immobilien-Kalkulation'!$B$72=1,B421&gt;'Immobilien-Kalkulation'!$B$69),MIN(D421*C421/12+'Immobilien-Kalkulation'!$B$74/12,D421*(1+C421/12)),MIN('Immobilien-Kalkulation'!$B$67,D421*(1+C421/12))))</f>
        <v>0</v>
      </c>
      <c r="F421" s="53">
        <f>IF(OR(A421&gt;'Immobilien-Kalkulation'!$B$70*12,D421&lt;=0),0,D421*C421/12)</f>
        <v>0</v>
      </c>
      <c r="G421" s="53">
        <f>IF(OR(A421&gt;'Immobilien-Kalkulation'!$B$70*12,D421&lt;=0),0,MAX(0,MIN(D421,E421-F421)))</f>
        <v>0</v>
      </c>
      <c r="H421" s="95">
        <v>0</v>
      </c>
      <c r="I421" s="53">
        <f>IF(A421&gt;'Immobilien-Kalkulation'!$B$70*12,0,MAX(0,D421-G421-J421))</f>
        <v>0</v>
      </c>
      <c r="J421" s="53">
        <f>IF(OR(A421&gt;'Immobilien-Kalkulation'!$B$70*12,D421&lt;=0),0,MIN(H421,MAX(0,D421-G421)))</f>
        <v>0</v>
      </c>
    </row>
    <row r="422" spans="1:10" x14ac:dyDescent="0.25">
      <c r="A422">
        <v>419</v>
      </c>
      <c r="B422">
        <f t="shared" si="6"/>
        <v>35</v>
      </c>
      <c r="C422" s="28">
        <f>IF(A422&gt;'Immobilien-Kalkulation'!$B$70*12,0,IF(AND('Immobilien-Kalkulation'!$B$72=1,B422&gt;'Immobilien-Kalkulation'!$B$69),'Immobilien-Kalkulation'!$B$73,'Immobilien-Kalkulation'!$B$65))</f>
        <v>0</v>
      </c>
      <c r="D422" s="53">
        <f>IF(A422&gt;'Immobilien-Kalkulation'!$B$70*12,0,I421)</f>
        <v>0</v>
      </c>
      <c r="E422" s="53">
        <f>IF(OR(A422&gt;'Immobilien-Kalkulation'!$B$70*12,D422&lt;=0),0,IF(AND('Immobilien-Kalkulation'!$B$72=1,B422&gt;'Immobilien-Kalkulation'!$B$69),MIN(D422*C422/12+'Immobilien-Kalkulation'!$B$74/12,D422*(1+C422/12)),MIN('Immobilien-Kalkulation'!$B$67,D422*(1+C422/12))))</f>
        <v>0</v>
      </c>
      <c r="F422" s="53">
        <f>IF(OR(A422&gt;'Immobilien-Kalkulation'!$B$70*12,D422&lt;=0),0,D422*C422/12)</f>
        <v>0</v>
      </c>
      <c r="G422" s="53">
        <f>IF(OR(A422&gt;'Immobilien-Kalkulation'!$B$70*12,D422&lt;=0),0,MAX(0,MIN(D422,E422-F422)))</f>
        <v>0</v>
      </c>
      <c r="H422" s="95">
        <v>0</v>
      </c>
      <c r="I422" s="53">
        <f>IF(A422&gt;'Immobilien-Kalkulation'!$B$70*12,0,MAX(0,D422-G422-J422))</f>
        <v>0</v>
      </c>
      <c r="J422" s="53">
        <f>IF(OR(A422&gt;'Immobilien-Kalkulation'!$B$70*12,D422&lt;=0),0,MIN(H422,MAX(0,D422-G422)))</f>
        <v>0</v>
      </c>
    </row>
    <row r="423" spans="1:10" x14ac:dyDescent="0.25">
      <c r="A423">
        <v>420</v>
      </c>
      <c r="B423">
        <f t="shared" si="6"/>
        <v>35</v>
      </c>
      <c r="C423" s="28">
        <f>IF(A423&gt;'Immobilien-Kalkulation'!$B$70*12,0,IF(AND('Immobilien-Kalkulation'!$B$72=1,B423&gt;'Immobilien-Kalkulation'!$B$69),'Immobilien-Kalkulation'!$B$73,'Immobilien-Kalkulation'!$B$65))</f>
        <v>0</v>
      </c>
      <c r="D423" s="53">
        <f>IF(A423&gt;'Immobilien-Kalkulation'!$B$70*12,0,I422)</f>
        <v>0</v>
      </c>
      <c r="E423" s="53">
        <f>IF(OR(A423&gt;'Immobilien-Kalkulation'!$B$70*12,D423&lt;=0),0,IF(AND('Immobilien-Kalkulation'!$B$72=1,B423&gt;'Immobilien-Kalkulation'!$B$69),MIN(D423*C423/12+'Immobilien-Kalkulation'!$B$74/12,D423*(1+C423/12)),MIN('Immobilien-Kalkulation'!$B$67,D423*(1+C423/12))))</f>
        <v>0</v>
      </c>
      <c r="F423" s="53">
        <f>IF(OR(A423&gt;'Immobilien-Kalkulation'!$B$70*12,D423&lt;=0),0,D423*C423/12)</f>
        <v>0</v>
      </c>
      <c r="G423" s="53">
        <f>IF(OR(A423&gt;'Immobilien-Kalkulation'!$B$70*12,D423&lt;=0),0,MAX(0,MIN(D423,E423-F423)))</f>
        <v>0</v>
      </c>
      <c r="H423" s="95">
        <v>0</v>
      </c>
      <c r="I423" s="53">
        <f>IF(A423&gt;'Immobilien-Kalkulation'!$B$70*12,0,MAX(0,D423-G423-J423))</f>
        <v>0</v>
      </c>
      <c r="J423" s="53">
        <f>IF(OR(A423&gt;'Immobilien-Kalkulation'!$B$70*12,D423&lt;=0),0,MIN(H423,MAX(0,D423-G423)))</f>
        <v>0</v>
      </c>
    </row>
    <row r="424" spans="1:10" x14ac:dyDescent="0.25">
      <c r="A424">
        <v>421</v>
      </c>
      <c r="B424">
        <f t="shared" si="6"/>
        <v>36</v>
      </c>
      <c r="C424" s="28">
        <f>IF(A424&gt;'Immobilien-Kalkulation'!$B$70*12,0,IF(AND('Immobilien-Kalkulation'!$B$72=1,B424&gt;'Immobilien-Kalkulation'!$B$69),'Immobilien-Kalkulation'!$B$73,'Immobilien-Kalkulation'!$B$65))</f>
        <v>0</v>
      </c>
      <c r="D424" s="53">
        <f>IF(A424&gt;'Immobilien-Kalkulation'!$B$70*12,0,I423)</f>
        <v>0</v>
      </c>
      <c r="E424" s="53">
        <f>IF(OR(A424&gt;'Immobilien-Kalkulation'!$B$70*12,D424&lt;=0),0,IF(AND('Immobilien-Kalkulation'!$B$72=1,B424&gt;'Immobilien-Kalkulation'!$B$69),MIN(D424*C424/12+'Immobilien-Kalkulation'!$B$74/12,D424*(1+C424/12)),MIN('Immobilien-Kalkulation'!$B$67,D424*(1+C424/12))))</f>
        <v>0</v>
      </c>
      <c r="F424" s="53">
        <f>IF(OR(A424&gt;'Immobilien-Kalkulation'!$B$70*12,D424&lt;=0),0,D424*C424/12)</f>
        <v>0</v>
      </c>
      <c r="G424" s="53">
        <f>IF(OR(A424&gt;'Immobilien-Kalkulation'!$B$70*12,D424&lt;=0),0,MAX(0,MIN(D424,E424-F424)))</f>
        <v>0</v>
      </c>
      <c r="H424" s="95">
        <v>0</v>
      </c>
      <c r="I424" s="53">
        <f>IF(A424&gt;'Immobilien-Kalkulation'!$B$70*12,0,MAX(0,D424-G424-J424))</f>
        <v>0</v>
      </c>
      <c r="J424" s="53">
        <f>IF(OR(A424&gt;'Immobilien-Kalkulation'!$B$70*12,D424&lt;=0),0,MIN(H424,MAX(0,D424-G424)))</f>
        <v>0</v>
      </c>
    </row>
    <row r="425" spans="1:10" x14ac:dyDescent="0.25">
      <c r="A425">
        <v>422</v>
      </c>
      <c r="B425">
        <f t="shared" si="6"/>
        <v>36</v>
      </c>
      <c r="C425" s="28">
        <f>IF(A425&gt;'Immobilien-Kalkulation'!$B$70*12,0,IF(AND('Immobilien-Kalkulation'!$B$72=1,B425&gt;'Immobilien-Kalkulation'!$B$69),'Immobilien-Kalkulation'!$B$73,'Immobilien-Kalkulation'!$B$65))</f>
        <v>0</v>
      </c>
      <c r="D425" s="53">
        <f>IF(A425&gt;'Immobilien-Kalkulation'!$B$70*12,0,I424)</f>
        <v>0</v>
      </c>
      <c r="E425" s="53">
        <f>IF(OR(A425&gt;'Immobilien-Kalkulation'!$B$70*12,D425&lt;=0),0,IF(AND('Immobilien-Kalkulation'!$B$72=1,B425&gt;'Immobilien-Kalkulation'!$B$69),MIN(D425*C425/12+'Immobilien-Kalkulation'!$B$74/12,D425*(1+C425/12)),MIN('Immobilien-Kalkulation'!$B$67,D425*(1+C425/12))))</f>
        <v>0</v>
      </c>
      <c r="F425" s="53">
        <f>IF(OR(A425&gt;'Immobilien-Kalkulation'!$B$70*12,D425&lt;=0),0,D425*C425/12)</f>
        <v>0</v>
      </c>
      <c r="G425" s="53">
        <f>IF(OR(A425&gt;'Immobilien-Kalkulation'!$B$70*12,D425&lt;=0),0,MAX(0,MIN(D425,E425-F425)))</f>
        <v>0</v>
      </c>
      <c r="H425" s="95">
        <v>0</v>
      </c>
      <c r="I425" s="53">
        <f>IF(A425&gt;'Immobilien-Kalkulation'!$B$70*12,0,MAX(0,D425-G425-J425))</f>
        <v>0</v>
      </c>
      <c r="J425" s="53">
        <f>IF(OR(A425&gt;'Immobilien-Kalkulation'!$B$70*12,D425&lt;=0),0,MIN(H425,MAX(0,D425-G425)))</f>
        <v>0</v>
      </c>
    </row>
    <row r="426" spans="1:10" x14ac:dyDescent="0.25">
      <c r="A426">
        <v>423</v>
      </c>
      <c r="B426">
        <f t="shared" si="6"/>
        <v>36</v>
      </c>
      <c r="C426" s="28">
        <f>IF(A426&gt;'Immobilien-Kalkulation'!$B$70*12,0,IF(AND('Immobilien-Kalkulation'!$B$72=1,B426&gt;'Immobilien-Kalkulation'!$B$69),'Immobilien-Kalkulation'!$B$73,'Immobilien-Kalkulation'!$B$65))</f>
        <v>0</v>
      </c>
      <c r="D426" s="53">
        <f>IF(A426&gt;'Immobilien-Kalkulation'!$B$70*12,0,I425)</f>
        <v>0</v>
      </c>
      <c r="E426" s="53">
        <f>IF(OR(A426&gt;'Immobilien-Kalkulation'!$B$70*12,D426&lt;=0),0,IF(AND('Immobilien-Kalkulation'!$B$72=1,B426&gt;'Immobilien-Kalkulation'!$B$69),MIN(D426*C426/12+'Immobilien-Kalkulation'!$B$74/12,D426*(1+C426/12)),MIN('Immobilien-Kalkulation'!$B$67,D426*(1+C426/12))))</f>
        <v>0</v>
      </c>
      <c r="F426" s="53">
        <f>IF(OR(A426&gt;'Immobilien-Kalkulation'!$B$70*12,D426&lt;=0),0,D426*C426/12)</f>
        <v>0</v>
      </c>
      <c r="G426" s="53">
        <f>IF(OR(A426&gt;'Immobilien-Kalkulation'!$B$70*12,D426&lt;=0),0,MAX(0,MIN(D426,E426-F426)))</f>
        <v>0</v>
      </c>
      <c r="H426" s="95">
        <v>0</v>
      </c>
      <c r="I426" s="53">
        <f>IF(A426&gt;'Immobilien-Kalkulation'!$B$70*12,0,MAX(0,D426-G426-J426))</f>
        <v>0</v>
      </c>
      <c r="J426" s="53">
        <f>IF(OR(A426&gt;'Immobilien-Kalkulation'!$B$70*12,D426&lt;=0),0,MIN(H426,MAX(0,D426-G426)))</f>
        <v>0</v>
      </c>
    </row>
    <row r="427" spans="1:10" x14ac:dyDescent="0.25">
      <c r="A427">
        <v>424</v>
      </c>
      <c r="B427">
        <f t="shared" si="6"/>
        <v>36</v>
      </c>
      <c r="C427" s="28">
        <f>IF(A427&gt;'Immobilien-Kalkulation'!$B$70*12,0,IF(AND('Immobilien-Kalkulation'!$B$72=1,B427&gt;'Immobilien-Kalkulation'!$B$69),'Immobilien-Kalkulation'!$B$73,'Immobilien-Kalkulation'!$B$65))</f>
        <v>0</v>
      </c>
      <c r="D427" s="53">
        <f>IF(A427&gt;'Immobilien-Kalkulation'!$B$70*12,0,I426)</f>
        <v>0</v>
      </c>
      <c r="E427" s="53">
        <f>IF(OR(A427&gt;'Immobilien-Kalkulation'!$B$70*12,D427&lt;=0),0,IF(AND('Immobilien-Kalkulation'!$B$72=1,B427&gt;'Immobilien-Kalkulation'!$B$69),MIN(D427*C427/12+'Immobilien-Kalkulation'!$B$74/12,D427*(1+C427/12)),MIN('Immobilien-Kalkulation'!$B$67,D427*(1+C427/12))))</f>
        <v>0</v>
      </c>
      <c r="F427" s="53">
        <f>IF(OR(A427&gt;'Immobilien-Kalkulation'!$B$70*12,D427&lt;=0),0,D427*C427/12)</f>
        <v>0</v>
      </c>
      <c r="G427" s="53">
        <f>IF(OR(A427&gt;'Immobilien-Kalkulation'!$B$70*12,D427&lt;=0),0,MAX(0,MIN(D427,E427-F427)))</f>
        <v>0</v>
      </c>
      <c r="H427" s="95">
        <v>0</v>
      </c>
      <c r="I427" s="53">
        <f>IF(A427&gt;'Immobilien-Kalkulation'!$B$70*12,0,MAX(0,D427-G427-J427))</f>
        <v>0</v>
      </c>
      <c r="J427" s="53">
        <f>IF(OR(A427&gt;'Immobilien-Kalkulation'!$B$70*12,D427&lt;=0),0,MIN(H427,MAX(0,D427-G427)))</f>
        <v>0</v>
      </c>
    </row>
    <row r="428" spans="1:10" x14ac:dyDescent="0.25">
      <c r="A428">
        <v>425</v>
      </c>
      <c r="B428">
        <f t="shared" si="6"/>
        <v>36</v>
      </c>
      <c r="C428" s="28">
        <f>IF(A428&gt;'Immobilien-Kalkulation'!$B$70*12,0,IF(AND('Immobilien-Kalkulation'!$B$72=1,B428&gt;'Immobilien-Kalkulation'!$B$69),'Immobilien-Kalkulation'!$B$73,'Immobilien-Kalkulation'!$B$65))</f>
        <v>0</v>
      </c>
      <c r="D428" s="53">
        <f>IF(A428&gt;'Immobilien-Kalkulation'!$B$70*12,0,I427)</f>
        <v>0</v>
      </c>
      <c r="E428" s="53">
        <f>IF(OR(A428&gt;'Immobilien-Kalkulation'!$B$70*12,D428&lt;=0),0,IF(AND('Immobilien-Kalkulation'!$B$72=1,B428&gt;'Immobilien-Kalkulation'!$B$69),MIN(D428*C428/12+'Immobilien-Kalkulation'!$B$74/12,D428*(1+C428/12)),MIN('Immobilien-Kalkulation'!$B$67,D428*(1+C428/12))))</f>
        <v>0</v>
      </c>
      <c r="F428" s="53">
        <f>IF(OR(A428&gt;'Immobilien-Kalkulation'!$B$70*12,D428&lt;=0),0,D428*C428/12)</f>
        <v>0</v>
      </c>
      <c r="G428" s="53">
        <f>IF(OR(A428&gt;'Immobilien-Kalkulation'!$B$70*12,D428&lt;=0),0,MAX(0,MIN(D428,E428-F428)))</f>
        <v>0</v>
      </c>
      <c r="H428" s="95">
        <v>0</v>
      </c>
      <c r="I428" s="53">
        <f>IF(A428&gt;'Immobilien-Kalkulation'!$B$70*12,0,MAX(0,D428-G428-J428))</f>
        <v>0</v>
      </c>
      <c r="J428" s="53">
        <f>IF(OR(A428&gt;'Immobilien-Kalkulation'!$B$70*12,D428&lt;=0),0,MIN(H428,MAX(0,D428-G428)))</f>
        <v>0</v>
      </c>
    </row>
    <row r="429" spans="1:10" x14ac:dyDescent="0.25">
      <c r="A429">
        <v>426</v>
      </c>
      <c r="B429">
        <f t="shared" si="6"/>
        <v>36</v>
      </c>
      <c r="C429" s="28">
        <f>IF(A429&gt;'Immobilien-Kalkulation'!$B$70*12,0,IF(AND('Immobilien-Kalkulation'!$B$72=1,B429&gt;'Immobilien-Kalkulation'!$B$69),'Immobilien-Kalkulation'!$B$73,'Immobilien-Kalkulation'!$B$65))</f>
        <v>0</v>
      </c>
      <c r="D429" s="53">
        <f>IF(A429&gt;'Immobilien-Kalkulation'!$B$70*12,0,I428)</f>
        <v>0</v>
      </c>
      <c r="E429" s="53">
        <f>IF(OR(A429&gt;'Immobilien-Kalkulation'!$B$70*12,D429&lt;=0),0,IF(AND('Immobilien-Kalkulation'!$B$72=1,B429&gt;'Immobilien-Kalkulation'!$B$69),MIN(D429*C429/12+'Immobilien-Kalkulation'!$B$74/12,D429*(1+C429/12)),MIN('Immobilien-Kalkulation'!$B$67,D429*(1+C429/12))))</f>
        <v>0</v>
      </c>
      <c r="F429" s="53">
        <f>IF(OR(A429&gt;'Immobilien-Kalkulation'!$B$70*12,D429&lt;=0),0,D429*C429/12)</f>
        <v>0</v>
      </c>
      <c r="G429" s="53">
        <f>IF(OR(A429&gt;'Immobilien-Kalkulation'!$B$70*12,D429&lt;=0),0,MAX(0,MIN(D429,E429-F429)))</f>
        <v>0</v>
      </c>
      <c r="H429" s="95">
        <v>0</v>
      </c>
      <c r="I429" s="53">
        <f>IF(A429&gt;'Immobilien-Kalkulation'!$B$70*12,0,MAX(0,D429-G429-J429))</f>
        <v>0</v>
      </c>
      <c r="J429" s="53">
        <f>IF(OR(A429&gt;'Immobilien-Kalkulation'!$B$70*12,D429&lt;=0),0,MIN(H429,MAX(0,D429-G429)))</f>
        <v>0</v>
      </c>
    </row>
    <row r="430" spans="1:10" x14ac:dyDescent="0.25">
      <c r="A430">
        <v>427</v>
      </c>
      <c r="B430">
        <f t="shared" si="6"/>
        <v>36</v>
      </c>
      <c r="C430" s="28">
        <f>IF(A430&gt;'Immobilien-Kalkulation'!$B$70*12,0,IF(AND('Immobilien-Kalkulation'!$B$72=1,B430&gt;'Immobilien-Kalkulation'!$B$69),'Immobilien-Kalkulation'!$B$73,'Immobilien-Kalkulation'!$B$65))</f>
        <v>0</v>
      </c>
      <c r="D430" s="53">
        <f>IF(A430&gt;'Immobilien-Kalkulation'!$B$70*12,0,I429)</f>
        <v>0</v>
      </c>
      <c r="E430" s="53">
        <f>IF(OR(A430&gt;'Immobilien-Kalkulation'!$B$70*12,D430&lt;=0),0,IF(AND('Immobilien-Kalkulation'!$B$72=1,B430&gt;'Immobilien-Kalkulation'!$B$69),MIN(D430*C430/12+'Immobilien-Kalkulation'!$B$74/12,D430*(1+C430/12)),MIN('Immobilien-Kalkulation'!$B$67,D430*(1+C430/12))))</f>
        <v>0</v>
      </c>
      <c r="F430" s="53">
        <f>IF(OR(A430&gt;'Immobilien-Kalkulation'!$B$70*12,D430&lt;=0),0,D430*C430/12)</f>
        <v>0</v>
      </c>
      <c r="G430" s="53">
        <f>IF(OR(A430&gt;'Immobilien-Kalkulation'!$B$70*12,D430&lt;=0),0,MAX(0,MIN(D430,E430-F430)))</f>
        <v>0</v>
      </c>
      <c r="H430" s="95">
        <v>0</v>
      </c>
      <c r="I430" s="53">
        <f>IF(A430&gt;'Immobilien-Kalkulation'!$B$70*12,0,MAX(0,D430-G430-J430))</f>
        <v>0</v>
      </c>
      <c r="J430" s="53">
        <f>IF(OR(A430&gt;'Immobilien-Kalkulation'!$B$70*12,D430&lt;=0),0,MIN(H430,MAX(0,D430-G430)))</f>
        <v>0</v>
      </c>
    </row>
    <row r="431" spans="1:10" x14ac:dyDescent="0.25">
      <c r="A431">
        <v>428</v>
      </c>
      <c r="B431">
        <f t="shared" si="6"/>
        <v>36</v>
      </c>
      <c r="C431" s="28">
        <f>IF(A431&gt;'Immobilien-Kalkulation'!$B$70*12,0,IF(AND('Immobilien-Kalkulation'!$B$72=1,B431&gt;'Immobilien-Kalkulation'!$B$69),'Immobilien-Kalkulation'!$B$73,'Immobilien-Kalkulation'!$B$65))</f>
        <v>0</v>
      </c>
      <c r="D431" s="53">
        <f>IF(A431&gt;'Immobilien-Kalkulation'!$B$70*12,0,I430)</f>
        <v>0</v>
      </c>
      <c r="E431" s="53">
        <f>IF(OR(A431&gt;'Immobilien-Kalkulation'!$B$70*12,D431&lt;=0),0,IF(AND('Immobilien-Kalkulation'!$B$72=1,B431&gt;'Immobilien-Kalkulation'!$B$69),MIN(D431*C431/12+'Immobilien-Kalkulation'!$B$74/12,D431*(1+C431/12)),MIN('Immobilien-Kalkulation'!$B$67,D431*(1+C431/12))))</f>
        <v>0</v>
      </c>
      <c r="F431" s="53">
        <f>IF(OR(A431&gt;'Immobilien-Kalkulation'!$B$70*12,D431&lt;=0),0,D431*C431/12)</f>
        <v>0</v>
      </c>
      <c r="G431" s="53">
        <f>IF(OR(A431&gt;'Immobilien-Kalkulation'!$B$70*12,D431&lt;=0),0,MAX(0,MIN(D431,E431-F431)))</f>
        <v>0</v>
      </c>
      <c r="H431" s="95">
        <v>0</v>
      </c>
      <c r="I431" s="53">
        <f>IF(A431&gt;'Immobilien-Kalkulation'!$B$70*12,0,MAX(0,D431-G431-J431))</f>
        <v>0</v>
      </c>
      <c r="J431" s="53">
        <f>IF(OR(A431&gt;'Immobilien-Kalkulation'!$B$70*12,D431&lt;=0),0,MIN(H431,MAX(0,D431-G431)))</f>
        <v>0</v>
      </c>
    </row>
    <row r="432" spans="1:10" x14ac:dyDescent="0.25">
      <c r="A432">
        <v>429</v>
      </c>
      <c r="B432">
        <f t="shared" si="6"/>
        <v>36</v>
      </c>
      <c r="C432" s="28">
        <f>IF(A432&gt;'Immobilien-Kalkulation'!$B$70*12,0,IF(AND('Immobilien-Kalkulation'!$B$72=1,B432&gt;'Immobilien-Kalkulation'!$B$69),'Immobilien-Kalkulation'!$B$73,'Immobilien-Kalkulation'!$B$65))</f>
        <v>0</v>
      </c>
      <c r="D432" s="53">
        <f>IF(A432&gt;'Immobilien-Kalkulation'!$B$70*12,0,I431)</f>
        <v>0</v>
      </c>
      <c r="E432" s="53">
        <f>IF(OR(A432&gt;'Immobilien-Kalkulation'!$B$70*12,D432&lt;=0),0,IF(AND('Immobilien-Kalkulation'!$B$72=1,B432&gt;'Immobilien-Kalkulation'!$B$69),MIN(D432*C432/12+'Immobilien-Kalkulation'!$B$74/12,D432*(1+C432/12)),MIN('Immobilien-Kalkulation'!$B$67,D432*(1+C432/12))))</f>
        <v>0</v>
      </c>
      <c r="F432" s="53">
        <f>IF(OR(A432&gt;'Immobilien-Kalkulation'!$B$70*12,D432&lt;=0),0,D432*C432/12)</f>
        <v>0</v>
      </c>
      <c r="G432" s="53">
        <f>IF(OR(A432&gt;'Immobilien-Kalkulation'!$B$70*12,D432&lt;=0),0,MAX(0,MIN(D432,E432-F432)))</f>
        <v>0</v>
      </c>
      <c r="H432" s="95">
        <v>0</v>
      </c>
      <c r="I432" s="53">
        <f>IF(A432&gt;'Immobilien-Kalkulation'!$B$70*12,0,MAX(0,D432-G432-J432))</f>
        <v>0</v>
      </c>
      <c r="J432" s="53">
        <f>IF(OR(A432&gt;'Immobilien-Kalkulation'!$B$70*12,D432&lt;=0),0,MIN(H432,MAX(0,D432-G432)))</f>
        <v>0</v>
      </c>
    </row>
    <row r="433" spans="1:10" x14ac:dyDescent="0.25">
      <c r="A433">
        <v>430</v>
      </c>
      <c r="B433">
        <f t="shared" si="6"/>
        <v>36</v>
      </c>
      <c r="C433" s="28">
        <f>IF(A433&gt;'Immobilien-Kalkulation'!$B$70*12,0,IF(AND('Immobilien-Kalkulation'!$B$72=1,B433&gt;'Immobilien-Kalkulation'!$B$69),'Immobilien-Kalkulation'!$B$73,'Immobilien-Kalkulation'!$B$65))</f>
        <v>0</v>
      </c>
      <c r="D433" s="53">
        <f>IF(A433&gt;'Immobilien-Kalkulation'!$B$70*12,0,I432)</f>
        <v>0</v>
      </c>
      <c r="E433" s="53">
        <f>IF(OR(A433&gt;'Immobilien-Kalkulation'!$B$70*12,D433&lt;=0),0,IF(AND('Immobilien-Kalkulation'!$B$72=1,B433&gt;'Immobilien-Kalkulation'!$B$69),MIN(D433*C433/12+'Immobilien-Kalkulation'!$B$74/12,D433*(1+C433/12)),MIN('Immobilien-Kalkulation'!$B$67,D433*(1+C433/12))))</f>
        <v>0</v>
      </c>
      <c r="F433" s="53">
        <f>IF(OR(A433&gt;'Immobilien-Kalkulation'!$B$70*12,D433&lt;=0),0,D433*C433/12)</f>
        <v>0</v>
      </c>
      <c r="G433" s="53">
        <f>IF(OR(A433&gt;'Immobilien-Kalkulation'!$B$70*12,D433&lt;=0),0,MAX(0,MIN(D433,E433-F433)))</f>
        <v>0</v>
      </c>
      <c r="H433" s="95">
        <v>0</v>
      </c>
      <c r="I433" s="53">
        <f>IF(A433&gt;'Immobilien-Kalkulation'!$B$70*12,0,MAX(0,D433-G433-J433))</f>
        <v>0</v>
      </c>
      <c r="J433" s="53">
        <f>IF(OR(A433&gt;'Immobilien-Kalkulation'!$B$70*12,D433&lt;=0),0,MIN(H433,MAX(0,D433-G433)))</f>
        <v>0</v>
      </c>
    </row>
    <row r="434" spans="1:10" x14ac:dyDescent="0.25">
      <c r="A434">
        <v>431</v>
      </c>
      <c r="B434">
        <f t="shared" si="6"/>
        <v>36</v>
      </c>
      <c r="C434" s="28">
        <f>IF(A434&gt;'Immobilien-Kalkulation'!$B$70*12,0,IF(AND('Immobilien-Kalkulation'!$B$72=1,B434&gt;'Immobilien-Kalkulation'!$B$69),'Immobilien-Kalkulation'!$B$73,'Immobilien-Kalkulation'!$B$65))</f>
        <v>0</v>
      </c>
      <c r="D434" s="53">
        <f>IF(A434&gt;'Immobilien-Kalkulation'!$B$70*12,0,I433)</f>
        <v>0</v>
      </c>
      <c r="E434" s="53">
        <f>IF(OR(A434&gt;'Immobilien-Kalkulation'!$B$70*12,D434&lt;=0),0,IF(AND('Immobilien-Kalkulation'!$B$72=1,B434&gt;'Immobilien-Kalkulation'!$B$69),MIN(D434*C434/12+'Immobilien-Kalkulation'!$B$74/12,D434*(1+C434/12)),MIN('Immobilien-Kalkulation'!$B$67,D434*(1+C434/12))))</f>
        <v>0</v>
      </c>
      <c r="F434" s="53">
        <f>IF(OR(A434&gt;'Immobilien-Kalkulation'!$B$70*12,D434&lt;=0),0,D434*C434/12)</f>
        <v>0</v>
      </c>
      <c r="G434" s="53">
        <f>IF(OR(A434&gt;'Immobilien-Kalkulation'!$B$70*12,D434&lt;=0),0,MAX(0,MIN(D434,E434-F434)))</f>
        <v>0</v>
      </c>
      <c r="H434" s="95">
        <v>0</v>
      </c>
      <c r="I434" s="53">
        <f>IF(A434&gt;'Immobilien-Kalkulation'!$B$70*12,0,MAX(0,D434-G434-J434))</f>
        <v>0</v>
      </c>
      <c r="J434" s="53">
        <f>IF(OR(A434&gt;'Immobilien-Kalkulation'!$B$70*12,D434&lt;=0),0,MIN(H434,MAX(0,D434-G434)))</f>
        <v>0</v>
      </c>
    </row>
    <row r="435" spans="1:10" x14ac:dyDescent="0.25">
      <c r="A435">
        <v>432</v>
      </c>
      <c r="B435">
        <f t="shared" si="6"/>
        <v>36</v>
      </c>
      <c r="C435" s="28">
        <f>IF(A435&gt;'Immobilien-Kalkulation'!$B$70*12,0,IF(AND('Immobilien-Kalkulation'!$B$72=1,B435&gt;'Immobilien-Kalkulation'!$B$69),'Immobilien-Kalkulation'!$B$73,'Immobilien-Kalkulation'!$B$65))</f>
        <v>0</v>
      </c>
      <c r="D435" s="53">
        <f>IF(A435&gt;'Immobilien-Kalkulation'!$B$70*12,0,I434)</f>
        <v>0</v>
      </c>
      <c r="E435" s="53">
        <f>IF(OR(A435&gt;'Immobilien-Kalkulation'!$B$70*12,D435&lt;=0),0,IF(AND('Immobilien-Kalkulation'!$B$72=1,B435&gt;'Immobilien-Kalkulation'!$B$69),MIN(D435*C435/12+'Immobilien-Kalkulation'!$B$74/12,D435*(1+C435/12)),MIN('Immobilien-Kalkulation'!$B$67,D435*(1+C435/12))))</f>
        <v>0</v>
      </c>
      <c r="F435" s="53">
        <f>IF(OR(A435&gt;'Immobilien-Kalkulation'!$B$70*12,D435&lt;=0),0,D435*C435/12)</f>
        <v>0</v>
      </c>
      <c r="G435" s="53">
        <f>IF(OR(A435&gt;'Immobilien-Kalkulation'!$B$70*12,D435&lt;=0),0,MAX(0,MIN(D435,E435-F435)))</f>
        <v>0</v>
      </c>
      <c r="H435" s="95">
        <v>0</v>
      </c>
      <c r="I435" s="53">
        <f>IF(A435&gt;'Immobilien-Kalkulation'!$B$70*12,0,MAX(0,D435-G435-J435))</f>
        <v>0</v>
      </c>
      <c r="J435" s="53">
        <f>IF(OR(A435&gt;'Immobilien-Kalkulation'!$B$70*12,D435&lt;=0),0,MIN(H435,MAX(0,D435-G435)))</f>
        <v>0</v>
      </c>
    </row>
    <row r="436" spans="1:10" x14ac:dyDescent="0.25">
      <c r="A436">
        <v>433</v>
      </c>
      <c r="B436">
        <f t="shared" si="6"/>
        <v>37</v>
      </c>
      <c r="C436" s="28">
        <f>IF(A436&gt;'Immobilien-Kalkulation'!$B$70*12,0,IF(AND('Immobilien-Kalkulation'!$B$72=1,B436&gt;'Immobilien-Kalkulation'!$B$69),'Immobilien-Kalkulation'!$B$73,'Immobilien-Kalkulation'!$B$65))</f>
        <v>0</v>
      </c>
      <c r="D436" s="53">
        <f>IF(A436&gt;'Immobilien-Kalkulation'!$B$70*12,0,I435)</f>
        <v>0</v>
      </c>
      <c r="E436" s="53">
        <f>IF(OR(A436&gt;'Immobilien-Kalkulation'!$B$70*12,D436&lt;=0),0,IF(AND('Immobilien-Kalkulation'!$B$72=1,B436&gt;'Immobilien-Kalkulation'!$B$69),MIN(D436*C436/12+'Immobilien-Kalkulation'!$B$74/12,D436*(1+C436/12)),MIN('Immobilien-Kalkulation'!$B$67,D436*(1+C436/12))))</f>
        <v>0</v>
      </c>
      <c r="F436" s="53">
        <f>IF(OR(A436&gt;'Immobilien-Kalkulation'!$B$70*12,D436&lt;=0),0,D436*C436/12)</f>
        <v>0</v>
      </c>
      <c r="G436" s="53">
        <f>IF(OR(A436&gt;'Immobilien-Kalkulation'!$B$70*12,D436&lt;=0),0,MAX(0,MIN(D436,E436-F436)))</f>
        <v>0</v>
      </c>
      <c r="H436" s="95">
        <v>0</v>
      </c>
      <c r="I436" s="53">
        <f>IF(A436&gt;'Immobilien-Kalkulation'!$B$70*12,0,MAX(0,D436-G436-J436))</f>
        <v>0</v>
      </c>
      <c r="J436" s="53">
        <f>IF(OR(A436&gt;'Immobilien-Kalkulation'!$B$70*12,D436&lt;=0),0,MIN(H436,MAX(0,D436-G436)))</f>
        <v>0</v>
      </c>
    </row>
    <row r="437" spans="1:10" x14ac:dyDescent="0.25">
      <c r="A437">
        <v>434</v>
      </c>
      <c r="B437">
        <f t="shared" si="6"/>
        <v>37</v>
      </c>
      <c r="C437" s="28">
        <f>IF(A437&gt;'Immobilien-Kalkulation'!$B$70*12,0,IF(AND('Immobilien-Kalkulation'!$B$72=1,B437&gt;'Immobilien-Kalkulation'!$B$69),'Immobilien-Kalkulation'!$B$73,'Immobilien-Kalkulation'!$B$65))</f>
        <v>0</v>
      </c>
      <c r="D437" s="53">
        <f>IF(A437&gt;'Immobilien-Kalkulation'!$B$70*12,0,I436)</f>
        <v>0</v>
      </c>
      <c r="E437" s="53">
        <f>IF(OR(A437&gt;'Immobilien-Kalkulation'!$B$70*12,D437&lt;=0),0,IF(AND('Immobilien-Kalkulation'!$B$72=1,B437&gt;'Immobilien-Kalkulation'!$B$69),MIN(D437*C437/12+'Immobilien-Kalkulation'!$B$74/12,D437*(1+C437/12)),MIN('Immobilien-Kalkulation'!$B$67,D437*(1+C437/12))))</f>
        <v>0</v>
      </c>
      <c r="F437" s="53">
        <f>IF(OR(A437&gt;'Immobilien-Kalkulation'!$B$70*12,D437&lt;=0),0,D437*C437/12)</f>
        <v>0</v>
      </c>
      <c r="G437" s="53">
        <f>IF(OR(A437&gt;'Immobilien-Kalkulation'!$B$70*12,D437&lt;=0),0,MAX(0,MIN(D437,E437-F437)))</f>
        <v>0</v>
      </c>
      <c r="H437" s="95">
        <v>0</v>
      </c>
      <c r="I437" s="53">
        <f>IF(A437&gt;'Immobilien-Kalkulation'!$B$70*12,0,MAX(0,D437-G437-J437))</f>
        <v>0</v>
      </c>
      <c r="J437" s="53">
        <f>IF(OR(A437&gt;'Immobilien-Kalkulation'!$B$70*12,D437&lt;=0),0,MIN(H437,MAX(0,D437-G437)))</f>
        <v>0</v>
      </c>
    </row>
    <row r="438" spans="1:10" x14ac:dyDescent="0.25">
      <c r="A438">
        <v>435</v>
      </c>
      <c r="B438">
        <f t="shared" si="6"/>
        <v>37</v>
      </c>
      <c r="C438" s="28">
        <f>IF(A438&gt;'Immobilien-Kalkulation'!$B$70*12,0,IF(AND('Immobilien-Kalkulation'!$B$72=1,B438&gt;'Immobilien-Kalkulation'!$B$69),'Immobilien-Kalkulation'!$B$73,'Immobilien-Kalkulation'!$B$65))</f>
        <v>0</v>
      </c>
      <c r="D438" s="53">
        <f>IF(A438&gt;'Immobilien-Kalkulation'!$B$70*12,0,I437)</f>
        <v>0</v>
      </c>
      <c r="E438" s="53">
        <f>IF(OR(A438&gt;'Immobilien-Kalkulation'!$B$70*12,D438&lt;=0),0,IF(AND('Immobilien-Kalkulation'!$B$72=1,B438&gt;'Immobilien-Kalkulation'!$B$69),MIN(D438*C438/12+'Immobilien-Kalkulation'!$B$74/12,D438*(1+C438/12)),MIN('Immobilien-Kalkulation'!$B$67,D438*(1+C438/12))))</f>
        <v>0</v>
      </c>
      <c r="F438" s="53">
        <f>IF(OR(A438&gt;'Immobilien-Kalkulation'!$B$70*12,D438&lt;=0),0,D438*C438/12)</f>
        <v>0</v>
      </c>
      <c r="G438" s="53">
        <f>IF(OR(A438&gt;'Immobilien-Kalkulation'!$B$70*12,D438&lt;=0),0,MAX(0,MIN(D438,E438-F438)))</f>
        <v>0</v>
      </c>
      <c r="H438" s="95">
        <v>0</v>
      </c>
      <c r="I438" s="53">
        <f>IF(A438&gt;'Immobilien-Kalkulation'!$B$70*12,0,MAX(0,D438-G438-J438))</f>
        <v>0</v>
      </c>
      <c r="J438" s="53">
        <f>IF(OR(A438&gt;'Immobilien-Kalkulation'!$B$70*12,D438&lt;=0),0,MIN(H438,MAX(0,D438-G438)))</f>
        <v>0</v>
      </c>
    </row>
    <row r="439" spans="1:10" x14ac:dyDescent="0.25">
      <c r="A439">
        <v>436</v>
      </c>
      <c r="B439">
        <f t="shared" si="6"/>
        <v>37</v>
      </c>
      <c r="C439" s="28">
        <f>IF(A439&gt;'Immobilien-Kalkulation'!$B$70*12,0,IF(AND('Immobilien-Kalkulation'!$B$72=1,B439&gt;'Immobilien-Kalkulation'!$B$69),'Immobilien-Kalkulation'!$B$73,'Immobilien-Kalkulation'!$B$65))</f>
        <v>0</v>
      </c>
      <c r="D439" s="53">
        <f>IF(A439&gt;'Immobilien-Kalkulation'!$B$70*12,0,I438)</f>
        <v>0</v>
      </c>
      <c r="E439" s="53">
        <f>IF(OR(A439&gt;'Immobilien-Kalkulation'!$B$70*12,D439&lt;=0),0,IF(AND('Immobilien-Kalkulation'!$B$72=1,B439&gt;'Immobilien-Kalkulation'!$B$69),MIN(D439*C439/12+'Immobilien-Kalkulation'!$B$74/12,D439*(1+C439/12)),MIN('Immobilien-Kalkulation'!$B$67,D439*(1+C439/12))))</f>
        <v>0</v>
      </c>
      <c r="F439" s="53">
        <f>IF(OR(A439&gt;'Immobilien-Kalkulation'!$B$70*12,D439&lt;=0),0,D439*C439/12)</f>
        <v>0</v>
      </c>
      <c r="G439" s="53">
        <f>IF(OR(A439&gt;'Immobilien-Kalkulation'!$B$70*12,D439&lt;=0),0,MAX(0,MIN(D439,E439-F439)))</f>
        <v>0</v>
      </c>
      <c r="H439" s="95">
        <v>0</v>
      </c>
      <c r="I439" s="53">
        <f>IF(A439&gt;'Immobilien-Kalkulation'!$B$70*12,0,MAX(0,D439-G439-J439))</f>
        <v>0</v>
      </c>
      <c r="J439" s="53">
        <f>IF(OR(A439&gt;'Immobilien-Kalkulation'!$B$70*12,D439&lt;=0),0,MIN(H439,MAX(0,D439-G439)))</f>
        <v>0</v>
      </c>
    </row>
    <row r="440" spans="1:10" x14ac:dyDescent="0.25">
      <c r="A440">
        <v>437</v>
      </c>
      <c r="B440">
        <f t="shared" si="6"/>
        <v>37</v>
      </c>
      <c r="C440" s="28">
        <f>IF(A440&gt;'Immobilien-Kalkulation'!$B$70*12,0,IF(AND('Immobilien-Kalkulation'!$B$72=1,B440&gt;'Immobilien-Kalkulation'!$B$69),'Immobilien-Kalkulation'!$B$73,'Immobilien-Kalkulation'!$B$65))</f>
        <v>0</v>
      </c>
      <c r="D440" s="53">
        <f>IF(A440&gt;'Immobilien-Kalkulation'!$B$70*12,0,I439)</f>
        <v>0</v>
      </c>
      <c r="E440" s="53">
        <f>IF(OR(A440&gt;'Immobilien-Kalkulation'!$B$70*12,D440&lt;=0),0,IF(AND('Immobilien-Kalkulation'!$B$72=1,B440&gt;'Immobilien-Kalkulation'!$B$69),MIN(D440*C440/12+'Immobilien-Kalkulation'!$B$74/12,D440*(1+C440/12)),MIN('Immobilien-Kalkulation'!$B$67,D440*(1+C440/12))))</f>
        <v>0</v>
      </c>
      <c r="F440" s="53">
        <f>IF(OR(A440&gt;'Immobilien-Kalkulation'!$B$70*12,D440&lt;=0),0,D440*C440/12)</f>
        <v>0</v>
      </c>
      <c r="G440" s="53">
        <f>IF(OR(A440&gt;'Immobilien-Kalkulation'!$B$70*12,D440&lt;=0),0,MAX(0,MIN(D440,E440-F440)))</f>
        <v>0</v>
      </c>
      <c r="H440" s="95">
        <v>0</v>
      </c>
      <c r="I440" s="53">
        <f>IF(A440&gt;'Immobilien-Kalkulation'!$B$70*12,0,MAX(0,D440-G440-J440))</f>
        <v>0</v>
      </c>
      <c r="J440" s="53">
        <f>IF(OR(A440&gt;'Immobilien-Kalkulation'!$B$70*12,D440&lt;=0),0,MIN(H440,MAX(0,D440-G440)))</f>
        <v>0</v>
      </c>
    </row>
    <row r="441" spans="1:10" x14ac:dyDescent="0.25">
      <c r="A441">
        <v>438</v>
      </c>
      <c r="B441">
        <f t="shared" si="6"/>
        <v>37</v>
      </c>
      <c r="C441" s="28">
        <f>IF(A441&gt;'Immobilien-Kalkulation'!$B$70*12,0,IF(AND('Immobilien-Kalkulation'!$B$72=1,B441&gt;'Immobilien-Kalkulation'!$B$69),'Immobilien-Kalkulation'!$B$73,'Immobilien-Kalkulation'!$B$65))</f>
        <v>0</v>
      </c>
      <c r="D441" s="53">
        <f>IF(A441&gt;'Immobilien-Kalkulation'!$B$70*12,0,I440)</f>
        <v>0</v>
      </c>
      <c r="E441" s="53">
        <f>IF(OR(A441&gt;'Immobilien-Kalkulation'!$B$70*12,D441&lt;=0),0,IF(AND('Immobilien-Kalkulation'!$B$72=1,B441&gt;'Immobilien-Kalkulation'!$B$69),MIN(D441*C441/12+'Immobilien-Kalkulation'!$B$74/12,D441*(1+C441/12)),MIN('Immobilien-Kalkulation'!$B$67,D441*(1+C441/12))))</f>
        <v>0</v>
      </c>
      <c r="F441" s="53">
        <f>IF(OR(A441&gt;'Immobilien-Kalkulation'!$B$70*12,D441&lt;=0),0,D441*C441/12)</f>
        <v>0</v>
      </c>
      <c r="G441" s="53">
        <f>IF(OR(A441&gt;'Immobilien-Kalkulation'!$B$70*12,D441&lt;=0),0,MAX(0,MIN(D441,E441-F441)))</f>
        <v>0</v>
      </c>
      <c r="H441" s="95">
        <v>0</v>
      </c>
      <c r="I441" s="53">
        <f>IF(A441&gt;'Immobilien-Kalkulation'!$B$70*12,0,MAX(0,D441-G441-J441))</f>
        <v>0</v>
      </c>
      <c r="J441" s="53">
        <f>IF(OR(A441&gt;'Immobilien-Kalkulation'!$B$70*12,D441&lt;=0),0,MIN(H441,MAX(0,D441-G441)))</f>
        <v>0</v>
      </c>
    </row>
    <row r="442" spans="1:10" x14ac:dyDescent="0.25">
      <c r="A442">
        <v>439</v>
      </c>
      <c r="B442">
        <f t="shared" si="6"/>
        <v>37</v>
      </c>
      <c r="C442" s="28">
        <f>IF(A442&gt;'Immobilien-Kalkulation'!$B$70*12,0,IF(AND('Immobilien-Kalkulation'!$B$72=1,B442&gt;'Immobilien-Kalkulation'!$B$69),'Immobilien-Kalkulation'!$B$73,'Immobilien-Kalkulation'!$B$65))</f>
        <v>0</v>
      </c>
      <c r="D442" s="53">
        <f>IF(A442&gt;'Immobilien-Kalkulation'!$B$70*12,0,I441)</f>
        <v>0</v>
      </c>
      <c r="E442" s="53">
        <f>IF(OR(A442&gt;'Immobilien-Kalkulation'!$B$70*12,D442&lt;=0),0,IF(AND('Immobilien-Kalkulation'!$B$72=1,B442&gt;'Immobilien-Kalkulation'!$B$69),MIN(D442*C442/12+'Immobilien-Kalkulation'!$B$74/12,D442*(1+C442/12)),MIN('Immobilien-Kalkulation'!$B$67,D442*(1+C442/12))))</f>
        <v>0</v>
      </c>
      <c r="F442" s="53">
        <f>IF(OR(A442&gt;'Immobilien-Kalkulation'!$B$70*12,D442&lt;=0),0,D442*C442/12)</f>
        <v>0</v>
      </c>
      <c r="G442" s="53">
        <f>IF(OR(A442&gt;'Immobilien-Kalkulation'!$B$70*12,D442&lt;=0),0,MAX(0,MIN(D442,E442-F442)))</f>
        <v>0</v>
      </c>
      <c r="H442" s="95">
        <v>0</v>
      </c>
      <c r="I442" s="53">
        <f>IF(A442&gt;'Immobilien-Kalkulation'!$B$70*12,0,MAX(0,D442-G442-J442))</f>
        <v>0</v>
      </c>
      <c r="J442" s="53">
        <f>IF(OR(A442&gt;'Immobilien-Kalkulation'!$B$70*12,D442&lt;=0),0,MIN(H442,MAX(0,D442-G442)))</f>
        <v>0</v>
      </c>
    </row>
    <row r="443" spans="1:10" x14ac:dyDescent="0.25">
      <c r="A443">
        <v>440</v>
      </c>
      <c r="B443">
        <f t="shared" si="6"/>
        <v>37</v>
      </c>
      <c r="C443" s="28">
        <f>IF(A443&gt;'Immobilien-Kalkulation'!$B$70*12,0,IF(AND('Immobilien-Kalkulation'!$B$72=1,B443&gt;'Immobilien-Kalkulation'!$B$69),'Immobilien-Kalkulation'!$B$73,'Immobilien-Kalkulation'!$B$65))</f>
        <v>0</v>
      </c>
      <c r="D443" s="53">
        <f>IF(A443&gt;'Immobilien-Kalkulation'!$B$70*12,0,I442)</f>
        <v>0</v>
      </c>
      <c r="E443" s="53">
        <f>IF(OR(A443&gt;'Immobilien-Kalkulation'!$B$70*12,D443&lt;=0),0,IF(AND('Immobilien-Kalkulation'!$B$72=1,B443&gt;'Immobilien-Kalkulation'!$B$69),MIN(D443*C443/12+'Immobilien-Kalkulation'!$B$74/12,D443*(1+C443/12)),MIN('Immobilien-Kalkulation'!$B$67,D443*(1+C443/12))))</f>
        <v>0</v>
      </c>
      <c r="F443" s="53">
        <f>IF(OR(A443&gt;'Immobilien-Kalkulation'!$B$70*12,D443&lt;=0),0,D443*C443/12)</f>
        <v>0</v>
      </c>
      <c r="G443" s="53">
        <f>IF(OR(A443&gt;'Immobilien-Kalkulation'!$B$70*12,D443&lt;=0),0,MAX(0,MIN(D443,E443-F443)))</f>
        <v>0</v>
      </c>
      <c r="H443" s="95">
        <v>0</v>
      </c>
      <c r="I443" s="53">
        <f>IF(A443&gt;'Immobilien-Kalkulation'!$B$70*12,0,MAX(0,D443-G443-J443))</f>
        <v>0</v>
      </c>
      <c r="J443" s="53">
        <f>IF(OR(A443&gt;'Immobilien-Kalkulation'!$B$70*12,D443&lt;=0),0,MIN(H443,MAX(0,D443-G443)))</f>
        <v>0</v>
      </c>
    </row>
    <row r="444" spans="1:10" x14ac:dyDescent="0.25">
      <c r="A444">
        <v>441</v>
      </c>
      <c r="B444">
        <f t="shared" si="6"/>
        <v>37</v>
      </c>
      <c r="C444" s="28">
        <f>IF(A444&gt;'Immobilien-Kalkulation'!$B$70*12,0,IF(AND('Immobilien-Kalkulation'!$B$72=1,B444&gt;'Immobilien-Kalkulation'!$B$69),'Immobilien-Kalkulation'!$B$73,'Immobilien-Kalkulation'!$B$65))</f>
        <v>0</v>
      </c>
      <c r="D444" s="53">
        <f>IF(A444&gt;'Immobilien-Kalkulation'!$B$70*12,0,I443)</f>
        <v>0</v>
      </c>
      <c r="E444" s="53">
        <f>IF(OR(A444&gt;'Immobilien-Kalkulation'!$B$70*12,D444&lt;=0),0,IF(AND('Immobilien-Kalkulation'!$B$72=1,B444&gt;'Immobilien-Kalkulation'!$B$69),MIN(D444*C444/12+'Immobilien-Kalkulation'!$B$74/12,D444*(1+C444/12)),MIN('Immobilien-Kalkulation'!$B$67,D444*(1+C444/12))))</f>
        <v>0</v>
      </c>
      <c r="F444" s="53">
        <f>IF(OR(A444&gt;'Immobilien-Kalkulation'!$B$70*12,D444&lt;=0),0,D444*C444/12)</f>
        <v>0</v>
      </c>
      <c r="G444" s="53">
        <f>IF(OR(A444&gt;'Immobilien-Kalkulation'!$B$70*12,D444&lt;=0),0,MAX(0,MIN(D444,E444-F444)))</f>
        <v>0</v>
      </c>
      <c r="H444" s="95">
        <v>0</v>
      </c>
      <c r="I444" s="53">
        <f>IF(A444&gt;'Immobilien-Kalkulation'!$B$70*12,0,MAX(0,D444-G444-J444))</f>
        <v>0</v>
      </c>
      <c r="J444" s="53">
        <f>IF(OR(A444&gt;'Immobilien-Kalkulation'!$B$70*12,D444&lt;=0),0,MIN(H444,MAX(0,D444-G444)))</f>
        <v>0</v>
      </c>
    </row>
    <row r="445" spans="1:10" x14ac:dyDescent="0.25">
      <c r="A445">
        <v>442</v>
      </c>
      <c r="B445">
        <f t="shared" si="6"/>
        <v>37</v>
      </c>
      <c r="C445" s="28">
        <f>IF(A445&gt;'Immobilien-Kalkulation'!$B$70*12,0,IF(AND('Immobilien-Kalkulation'!$B$72=1,B445&gt;'Immobilien-Kalkulation'!$B$69),'Immobilien-Kalkulation'!$B$73,'Immobilien-Kalkulation'!$B$65))</f>
        <v>0</v>
      </c>
      <c r="D445" s="53">
        <f>IF(A445&gt;'Immobilien-Kalkulation'!$B$70*12,0,I444)</f>
        <v>0</v>
      </c>
      <c r="E445" s="53">
        <f>IF(OR(A445&gt;'Immobilien-Kalkulation'!$B$70*12,D445&lt;=0),0,IF(AND('Immobilien-Kalkulation'!$B$72=1,B445&gt;'Immobilien-Kalkulation'!$B$69),MIN(D445*C445/12+'Immobilien-Kalkulation'!$B$74/12,D445*(1+C445/12)),MIN('Immobilien-Kalkulation'!$B$67,D445*(1+C445/12))))</f>
        <v>0</v>
      </c>
      <c r="F445" s="53">
        <f>IF(OR(A445&gt;'Immobilien-Kalkulation'!$B$70*12,D445&lt;=0),0,D445*C445/12)</f>
        <v>0</v>
      </c>
      <c r="G445" s="53">
        <f>IF(OR(A445&gt;'Immobilien-Kalkulation'!$B$70*12,D445&lt;=0),0,MAX(0,MIN(D445,E445-F445)))</f>
        <v>0</v>
      </c>
      <c r="H445" s="95">
        <v>0</v>
      </c>
      <c r="I445" s="53">
        <f>IF(A445&gt;'Immobilien-Kalkulation'!$B$70*12,0,MAX(0,D445-G445-J445))</f>
        <v>0</v>
      </c>
      <c r="J445" s="53">
        <f>IF(OR(A445&gt;'Immobilien-Kalkulation'!$B$70*12,D445&lt;=0),0,MIN(H445,MAX(0,D445-G445)))</f>
        <v>0</v>
      </c>
    </row>
    <row r="446" spans="1:10" x14ac:dyDescent="0.25">
      <c r="A446">
        <v>443</v>
      </c>
      <c r="B446">
        <f t="shared" si="6"/>
        <v>37</v>
      </c>
      <c r="C446" s="28">
        <f>IF(A446&gt;'Immobilien-Kalkulation'!$B$70*12,0,IF(AND('Immobilien-Kalkulation'!$B$72=1,B446&gt;'Immobilien-Kalkulation'!$B$69),'Immobilien-Kalkulation'!$B$73,'Immobilien-Kalkulation'!$B$65))</f>
        <v>0</v>
      </c>
      <c r="D446" s="53">
        <f>IF(A446&gt;'Immobilien-Kalkulation'!$B$70*12,0,I445)</f>
        <v>0</v>
      </c>
      <c r="E446" s="53">
        <f>IF(OR(A446&gt;'Immobilien-Kalkulation'!$B$70*12,D446&lt;=0),0,IF(AND('Immobilien-Kalkulation'!$B$72=1,B446&gt;'Immobilien-Kalkulation'!$B$69),MIN(D446*C446/12+'Immobilien-Kalkulation'!$B$74/12,D446*(1+C446/12)),MIN('Immobilien-Kalkulation'!$B$67,D446*(1+C446/12))))</f>
        <v>0</v>
      </c>
      <c r="F446" s="53">
        <f>IF(OR(A446&gt;'Immobilien-Kalkulation'!$B$70*12,D446&lt;=0),0,D446*C446/12)</f>
        <v>0</v>
      </c>
      <c r="G446" s="53">
        <f>IF(OR(A446&gt;'Immobilien-Kalkulation'!$B$70*12,D446&lt;=0),0,MAX(0,MIN(D446,E446-F446)))</f>
        <v>0</v>
      </c>
      <c r="H446" s="95">
        <v>0</v>
      </c>
      <c r="I446" s="53">
        <f>IF(A446&gt;'Immobilien-Kalkulation'!$B$70*12,0,MAX(0,D446-G446-J446))</f>
        <v>0</v>
      </c>
      <c r="J446" s="53">
        <f>IF(OR(A446&gt;'Immobilien-Kalkulation'!$B$70*12,D446&lt;=0),0,MIN(H446,MAX(0,D446-G446)))</f>
        <v>0</v>
      </c>
    </row>
    <row r="447" spans="1:10" x14ac:dyDescent="0.25">
      <c r="A447">
        <v>444</v>
      </c>
      <c r="B447">
        <f t="shared" si="6"/>
        <v>37</v>
      </c>
      <c r="C447" s="28">
        <f>IF(A447&gt;'Immobilien-Kalkulation'!$B$70*12,0,IF(AND('Immobilien-Kalkulation'!$B$72=1,B447&gt;'Immobilien-Kalkulation'!$B$69),'Immobilien-Kalkulation'!$B$73,'Immobilien-Kalkulation'!$B$65))</f>
        <v>0</v>
      </c>
      <c r="D447" s="53">
        <f>IF(A447&gt;'Immobilien-Kalkulation'!$B$70*12,0,I446)</f>
        <v>0</v>
      </c>
      <c r="E447" s="53">
        <f>IF(OR(A447&gt;'Immobilien-Kalkulation'!$B$70*12,D447&lt;=0),0,IF(AND('Immobilien-Kalkulation'!$B$72=1,B447&gt;'Immobilien-Kalkulation'!$B$69),MIN(D447*C447/12+'Immobilien-Kalkulation'!$B$74/12,D447*(1+C447/12)),MIN('Immobilien-Kalkulation'!$B$67,D447*(1+C447/12))))</f>
        <v>0</v>
      </c>
      <c r="F447" s="53">
        <f>IF(OR(A447&gt;'Immobilien-Kalkulation'!$B$70*12,D447&lt;=0),0,D447*C447/12)</f>
        <v>0</v>
      </c>
      <c r="G447" s="53">
        <f>IF(OR(A447&gt;'Immobilien-Kalkulation'!$B$70*12,D447&lt;=0),0,MAX(0,MIN(D447,E447-F447)))</f>
        <v>0</v>
      </c>
      <c r="H447" s="95">
        <v>0</v>
      </c>
      <c r="I447" s="53">
        <f>IF(A447&gt;'Immobilien-Kalkulation'!$B$70*12,0,MAX(0,D447-G447-J447))</f>
        <v>0</v>
      </c>
      <c r="J447" s="53">
        <f>IF(OR(A447&gt;'Immobilien-Kalkulation'!$B$70*12,D447&lt;=0),0,MIN(H447,MAX(0,D447-G447)))</f>
        <v>0</v>
      </c>
    </row>
    <row r="448" spans="1:10" x14ac:dyDescent="0.25">
      <c r="A448">
        <v>445</v>
      </c>
      <c r="B448">
        <f t="shared" si="6"/>
        <v>38</v>
      </c>
      <c r="C448" s="28">
        <f>IF(A448&gt;'Immobilien-Kalkulation'!$B$70*12,0,IF(AND('Immobilien-Kalkulation'!$B$72=1,B448&gt;'Immobilien-Kalkulation'!$B$69),'Immobilien-Kalkulation'!$B$73,'Immobilien-Kalkulation'!$B$65))</f>
        <v>0</v>
      </c>
      <c r="D448" s="53">
        <f>IF(A448&gt;'Immobilien-Kalkulation'!$B$70*12,0,I447)</f>
        <v>0</v>
      </c>
      <c r="E448" s="53">
        <f>IF(OR(A448&gt;'Immobilien-Kalkulation'!$B$70*12,D448&lt;=0),0,IF(AND('Immobilien-Kalkulation'!$B$72=1,B448&gt;'Immobilien-Kalkulation'!$B$69),MIN(D448*C448/12+'Immobilien-Kalkulation'!$B$74/12,D448*(1+C448/12)),MIN('Immobilien-Kalkulation'!$B$67,D448*(1+C448/12))))</f>
        <v>0</v>
      </c>
      <c r="F448" s="53">
        <f>IF(OR(A448&gt;'Immobilien-Kalkulation'!$B$70*12,D448&lt;=0),0,D448*C448/12)</f>
        <v>0</v>
      </c>
      <c r="G448" s="53">
        <f>IF(OR(A448&gt;'Immobilien-Kalkulation'!$B$70*12,D448&lt;=0),0,MAX(0,MIN(D448,E448-F448)))</f>
        <v>0</v>
      </c>
      <c r="H448" s="95">
        <v>0</v>
      </c>
      <c r="I448" s="53">
        <f>IF(A448&gt;'Immobilien-Kalkulation'!$B$70*12,0,MAX(0,D448-G448-J448))</f>
        <v>0</v>
      </c>
      <c r="J448" s="53">
        <f>IF(OR(A448&gt;'Immobilien-Kalkulation'!$B$70*12,D448&lt;=0),0,MIN(H448,MAX(0,D448-G448)))</f>
        <v>0</v>
      </c>
    </row>
    <row r="449" spans="1:10" x14ac:dyDescent="0.25">
      <c r="A449">
        <v>446</v>
      </c>
      <c r="B449">
        <f t="shared" si="6"/>
        <v>38</v>
      </c>
      <c r="C449" s="28">
        <f>IF(A449&gt;'Immobilien-Kalkulation'!$B$70*12,0,IF(AND('Immobilien-Kalkulation'!$B$72=1,B449&gt;'Immobilien-Kalkulation'!$B$69),'Immobilien-Kalkulation'!$B$73,'Immobilien-Kalkulation'!$B$65))</f>
        <v>0</v>
      </c>
      <c r="D449" s="53">
        <f>IF(A449&gt;'Immobilien-Kalkulation'!$B$70*12,0,I448)</f>
        <v>0</v>
      </c>
      <c r="E449" s="53">
        <f>IF(OR(A449&gt;'Immobilien-Kalkulation'!$B$70*12,D449&lt;=0),0,IF(AND('Immobilien-Kalkulation'!$B$72=1,B449&gt;'Immobilien-Kalkulation'!$B$69),MIN(D449*C449/12+'Immobilien-Kalkulation'!$B$74/12,D449*(1+C449/12)),MIN('Immobilien-Kalkulation'!$B$67,D449*(1+C449/12))))</f>
        <v>0</v>
      </c>
      <c r="F449" s="53">
        <f>IF(OR(A449&gt;'Immobilien-Kalkulation'!$B$70*12,D449&lt;=0),0,D449*C449/12)</f>
        <v>0</v>
      </c>
      <c r="G449" s="53">
        <f>IF(OR(A449&gt;'Immobilien-Kalkulation'!$B$70*12,D449&lt;=0),0,MAX(0,MIN(D449,E449-F449)))</f>
        <v>0</v>
      </c>
      <c r="H449" s="95">
        <v>0</v>
      </c>
      <c r="I449" s="53">
        <f>IF(A449&gt;'Immobilien-Kalkulation'!$B$70*12,0,MAX(0,D449-G449-J449))</f>
        <v>0</v>
      </c>
      <c r="J449" s="53">
        <f>IF(OR(A449&gt;'Immobilien-Kalkulation'!$B$70*12,D449&lt;=0),0,MIN(H449,MAX(0,D449-G449)))</f>
        <v>0</v>
      </c>
    </row>
    <row r="450" spans="1:10" x14ac:dyDescent="0.25">
      <c r="A450">
        <v>447</v>
      </c>
      <c r="B450">
        <f t="shared" si="6"/>
        <v>38</v>
      </c>
      <c r="C450" s="28">
        <f>IF(A450&gt;'Immobilien-Kalkulation'!$B$70*12,0,IF(AND('Immobilien-Kalkulation'!$B$72=1,B450&gt;'Immobilien-Kalkulation'!$B$69),'Immobilien-Kalkulation'!$B$73,'Immobilien-Kalkulation'!$B$65))</f>
        <v>0</v>
      </c>
      <c r="D450" s="53">
        <f>IF(A450&gt;'Immobilien-Kalkulation'!$B$70*12,0,I449)</f>
        <v>0</v>
      </c>
      <c r="E450" s="53">
        <f>IF(OR(A450&gt;'Immobilien-Kalkulation'!$B$70*12,D450&lt;=0),0,IF(AND('Immobilien-Kalkulation'!$B$72=1,B450&gt;'Immobilien-Kalkulation'!$B$69),MIN(D450*C450/12+'Immobilien-Kalkulation'!$B$74/12,D450*(1+C450/12)),MIN('Immobilien-Kalkulation'!$B$67,D450*(1+C450/12))))</f>
        <v>0</v>
      </c>
      <c r="F450" s="53">
        <f>IF(OR(A450&gt;'Immobilien-Kalkulation'!$B$70*12,D450&lt;=0),0,D450*C450/12)</f>
        <v>0</v>
      </c>
      <c r="G450" s="53">
        <f>IF(OR(A450&gt;'Immobilien-Kalkulation'!$B$70*12,D450&lt;=0),0,MAX(0,MIN(D450,E450-F450)))</f>
        <v>0</v>
      </c>
      <c r="H450" s="95">
        <v>0</v>
      </c>
      <c r="I450" s="53">
        <f>IF(A450&gt;'Immobilien-Kalkulation'!$B$70*12,0,MAX(0,D450-G450-J450))</f>
        <v>0</v>
      </c>
      <c r="J450" s="53">
        <f>IF(OR(A450&gt;'Immobilien-Kalkulation'!$B$70*12,D450&lt;=0),0,MIN(H450,MAX(0,D450-G450)))</f>
        <v>0</v>
      </c>
    </row>
    <row r="451" spans="1:10" x14ac:dyDescent="0.25">
      <c r="A451">
        <v>448</v>
      </c>
      <c r="B451">
        <f t="shared" si="6"/>
        <v>38</v>
      </c>
      <c r="C451" s="28">
        <f>IF(A451&gt;'Immobilien-Kalkulation'!$B$70*12,0,IF(AND('Immobilien-Kalkulation'!$B$72=1,B451&gt;'Immobilien-Kalkulation'!$B$69),'Immobilien-Kalkulation'!$B$73,'Immobilien-Kalkulation'!$B$65))</f>
        <v>0</v>
      </c>
      <c r="D451" s="53">
        <f>IF(A451&gt;'Immobilien-Kalkulation'!$B$70*12,0,I450)</f>
        <v>0</v>
      </c>
      <c r="E451" s="53">
        <f>IF(OR(A451&gt;'Immobilien-Kalkulation'!$B$70*12,D451&lt;=0),0,IF(AND('Immobilien-Kalkulation'!$B$72=1,B451&gt;'Immobilien-Kalkulation'!$B$69),MIN(D451*C451/12+'Immobilien-Kalkulation'!$B$74/12,D451*(1+C451/12)),MIN('Immobilien-Kalkulation'!$B$67,D451*(1+C451/12))))</f>
        <v>0</v>
      </c>
      <c r="F451" s="53">
        <f>IF(OR(A451&gt;'Immobilien-Kalkulation'!$B$70*12,D451&lt;=0),0,D451*C451/12)</f>
        <v>0</v>
      </c>
      <c r="G451" s="53">
        <f>IF(OR(A451&gt;'Immobilien-Kalkulation'!$B$70*12,D451&lt;=0),0,MAX(0,MIN(D451,E451-F451)))</f>
        <v>0</v>
      </c>
      <c r="H451" s="95">
        <v>0</v>
      </c>
      <c r="I451" s="53">
        <f>IF(A451&gt;'Immobilien-Kalkulation'!$B$70*12,0,MAX(0,D451-G451-J451))</f>
        <v>0</v>
      </c>
      <c r="J451" s="53">
        <f>IF(OR(A451&gt;'Immobilien-Kalkulation'!$B$70*12,D451&lt;=0),0,MIN(H451,MAX(0,D451-G451)))</f>
        <v>0</v>
      </c>
    </row>
    <row r="452" spans="1:10" x14ac:dyDescent="0.25">
      <c r="A452">
        <v>449</v>
      </c>
      <c r="B452">
        <f t="shared" ref="B452:B515" si="7">INT((A452-1)/12)+1</f>
        <v>38</v>
      </c>
      <c r="C452" s="28">
        <f>IF(A452&gt;'Immobilien-Kalkulation'!$B$70*12,0,IF(AND('Immobilien-Kalkulation'!$B$72=1,B452&gt;'Immobilien-Kalkulation'!$B$69),'Immobilien-Kalkulation'!$B$73,'Immobilien-Kalkulation'!$B$65))</f>
        <v>0</v>
      </c>
      <c r="D452" s="53">
        <f>IF(A452&gt;'Immobilien-Kalkulation'!$B$70*12,0,I451)</f>
        <v>0</v>
      </c>
      <c r="E452" s="53">
        <f>IF(OR(A452&gt;'Immobilien-Kalkulation'!$B$70*12,D452&lt;=0),0,IF(AND('Immobilien-Kalkulation'!$B$72=1,B452&gt;'Immobilien-Kalkulation'!$B$69),MIN(D452*C452/12+'Immobilien-Kalkulation'!$B$74/12,D452*(1+C452/12)),MIN('Immobilien-Kalkulation'!$B$67,D452*(1+C452/12))))</f>
        <v>0</v>
      </c>
      <c r="F452" s="53">
        <f>IF(OR(A452&gt;'Immobilien-Kalkulation'!$B$70*12,D452&lt;=0),0,D452*C452/12)</f>
        <v>0</v>
      </c>
      <c r="G452" s="53">
        <f>IF(OR(A452&gt;'Immobilien-Kalkulation'!$B$70*12,D452&lt;=0),0,MAX(0,MIN(D452,E452-F452)))</f>
        <v>0</v>
      </c>
      <c r="H452" s="95">
        <v>0</v>
      </c>
      <c r="I452" s="53">
        <f>IF(A452&gt;'Immobilien-Kalkulation'!$B$70*12,0,MAX(0,D452-G452-J452))</f>
        <v>0</v>
      </c>
      <c r="J452" s="53">
        <f>IF(OR(A452&gt;'Immobilien-Kalkulation'!$B$70*12,D452&lt;=0),0,MIN(H452,MAX(0,D452-G452)))</f>
        <v>0</v>
      </c>
    </row>
    <row r="453" spans="1:10" x14ac:dyDescent="0.25">
      <c r="A453">
        <v>450</v>
      </c>
      <c r="B453">
        <f t="shared" si="7"/>
        <v>38</v>
      </c>
      <c r="C453" s="28">
        <f>IF(A453&gt;'Immobilien-Kalkulation'!$B$70*12,0,IF(AND('Immobilien-Kalkulation'!$B$72=1,B453&gt;'Immobilien-Kalkulation'!$B$69),'Immobilien-Kalkulation'!$B$73,'Immobilien-Kalkulation'!$B$65))</f>
        <v>0</v>
      </c>
      <c r="D453" s="53">
        <f>IF(A453&gt;'Immobilien-Kalkulation'!$B$70*12,0,I452)</f>
        <v>0</v>
      </c>
      <c r="E453" s="53">
        <f>IF(OR(A453&gt;'Immobilien-Kalkulation'!$B$70*12,D453&lt;=0),0,IF(AND('Immobilien-Kalkulation'!$B$72=1,B453&gt;'Immobilien-Kalkulation'!$B$69),MIN(D453*C453/12+'Immobilien-Kalkulation'!$B$74/12,D453*(1+C453/12)),MIN('Immobilien-Kalkulation'!$B$67,D453*(1+C453/12))))</f>
        <v>0</v>
      </c>
      <c r="F453" s="53">
        <f>IF(OR(A453&gt;'Immobilien-Kalkulation'!$B$70*12,D453&lt;=0),0,D453*C453/12)</f>
        <v>0</v>
      </c>
      <c r="G453" s="53">
        <f>IF(OR(A453&gt;'Immobilien-Kalkulation'!$B$70*12,D453&lt;=0),0,MAX(0,MIN(D453,E453-F453)))</f>
        <v>0</v>
      </c>
      <c r="H453" s="95">
        <v>0</v>
      </c>
      <c r="I453" s="53">
        <f>IF(A453&gt;'Immobilien-Kalkulation'!$B$70*12,0,MAX(0,D453-G453-J453))</f>
        <v>0</v>
      </c>
      <c r="J453" s="53">
        <f>IF(OR(A453&gt;'Immobilien-Kalkulation'!$B$70*12,D453&lt;=0),0,MIN(H453,MAX(0,D453-G453)))</f>
        <v>0</v>
      </c>
    </row>
    <row r="454" spans="1:10" x14ac:dyDescent="0.25">
      <c r="A454">
        <v>451</v>
      </c>
      <c r="B454">
        <f t="shared" si="7"/>
        <v>38</v>
      </c>
      <c r="C454" s="28">
        <f>IF(A454&gt;'Immobilien-Kalkulation'!$B$70*12,0,IF(AND('Immobilien-Kalkulation'!$B$72=1,B454&gt;'Immobilien-Kalkulation'!$B$69),'Immobilien-Kalkulation'!$B$73,'Immobilien-Kalkulation'!$B$65))</f>
        <v>0</v>
      </c>
      <c r="D454" s="53">
        <f>IF(A454&gt;'Immobilien-Kalkulation'!$B$70*12,0,I453)</f>
        <v>0</v>
      </c>
      <c r="E454" s="53">
        <f>IF(OR(A454&gt;'Immobilien-Kalkulation'!$B$70*12,D454&lt;=0),0,IF(AND('Immobilien-Kalkulation'!$B$72=1,B454&gt;'Immobilien-Kalkulation'!$B$69),MIN(D454*C454/12+'Immobilien-Kalkulation'!$B$74/12,D454*(1+C454/12)),MIN('Immobilien-Kalkulation'!$B$67,D454*(1+C454/12))))</f>
        <v>0</v>
      </c>
      <c r="F454" s="53">
        <f>IF(OR(A454&gt;'Immobilien-Kalkulation'!$B$70*12,D454&lt;=0),0,D454*C454/12)</f>
        <v>0</v>
      </c>
      <c r="G454" s="53">
        <f>IF(OR(A454&gt;'Immobilien-Kalkulation'!$B$70*12,D454&lt;=0),0,MAX(0,MIN(D454,E454-F454)))</f>
        <v>0</v>
      </c>
      <c r="H454" s="95">
        <v>0</v>
      </c>
      <c r="I454" s="53">
        <f>IF(A454&gt;'Immobilien-Kalkulation'!$B$70*12,0,MAX(0,D454-G454-J454))</f>
        <v>0</v>
      </c>
      <c r="J454" s="53">
        <f>IF(OR(A454&gt;'Immobilien-Kalkulation'!$B$70*12,D454&lt;=0),0,MIN(H454,MAX(0,D454-G454)))</f>
        <v>0</v>
      </c>
    </row>
    <row r="455" spans="1:10" x14ac:dyDescent="0.25">
      <c r="A455">
        <v>452</v>
      </c>
      <c r="B455">
        <f t="shared" si="7"/>
        <v>38</v>
      </c>
      <c r="C455" s="28">
        <f>IF(A455&gt;'Immobilien-Kalkulation'!$B$70*12,0,IF(AND('Immobilien-Kalkulation'!$B$72=1,B455&gt;'Immobilien-Kalkulation'!$B$69),'Immobilien-Kalkulation'!$B$73,'Immobilien-Kalkulation'!$B$65))</f>
        <v>0</v>
      </c>
      <c r="D455" s="53">
        <f>IF(A455&gt;'Immobilien-Kalkulation'!$B$70*12,0,I454)</f>
        <v>0</v>
      </c>
      <c r="E455" s="53">
        <f>IF(OR(A455&gt;'Immobilien-Kalkulation'!$B$70*12,D455&lt;=0),0,IF(AND('Immobilien-Kalkulation'!$B$72=1,B455&gt;'Immobilien-Kalkulation'!$B$69),MIN(D455*C455/12+'Immobilien-Kalkulation'!$B$74/12,D455*(1+C455/12)),MIN('Immobilien-Kalkulation'!$B$67,D455*(1+C455/12))))</f>
        <v>0</v>
      </c>
      <c r="F455" s="53">
        <f>IF(OR(A455&gt;'Immobilien-Kalkulation'!$B$70*12,D455&lt;=0),0,D455*C455/12)</f>
        <v>0</v>
      </c>
      <c r="G455" s="53">
        <f>IF(OR(A455&gt;'Immobilien-Kalkulation'!$B$70*12,D455&lt;=0),0,MAX(0,MIN(D455,E455-F455)))</f>
        <v>0</v>
      </c>
      <c r="H455" s="95">
        <v>0</v>
      </c>
      <c r="I455" s="53">
        <f>IF(A455&gt;'Immobilien-Kalkulation'!$B$70*12,0,MAX(0,D455-G455-J455))</f>
        <v>0</v>
      </c>
      <c r="J455" s="53">
        <f>IF(OR(A455&gt;'Immobilien-Kalkulation'!$B$70*12,D455&lt;=0),0,MIN(H455,MAX(0,D455-G455)))</f>
        <v>0</v>
      </c>
    </row>
    <row r="456" spans="1:10" x14ac:dyDescent="0.25">
      <c r="A456">
        <v>453</v>
      </c>
      <c r="B456">
        <f t="shared" si="7"/>
        <v>38</v>
      </c>
      <c r="C456" s="28">
        <f>IF(A456&gt;'Immobilien-Kalkulation'!$B$70*12,0,IF(AND('Immobilien-Kalkulation'!$B$72=1,B456&gt;'Immobilien-Kalkulation'!$B$69),'Immobilien-Kalkulation'!$B$73,'Immobilien-Kalkulation'!$B$65))</f>
        <v>0</v>
      </c>
      <c r="D456" s="53">
        <f>IF(A456&gt;'Immobilien-Kalkulation'!$B$70*12,0,I455)</f>
        <v>0</v>
      </c>
      <c r="E456" s="53">
        <f>IF(OR(A456&gt;'Immobilien-Kalkulation'!$B$70*12,D456&lt;=0),0,IF(AND('Immobilien-Kalkulation'!$B$72=1,B456&gt;'Immobilien-Kalkulation'!$B$69),MIN(D456*C456/12+'Immobilien-Kalkulation'!$B$74/12,D456*(1+C456/12)),MIN('Immobilien-Kalkulation'!$B$67,D456*(1+C456/12))))</f>
        <v>0</v>
      </c>
      <c r="F456" s="53">
        <f>IF(OR(A456&gt;'Immobilien-Kalkulation'!$B$70*12,D456&lt;=0),0,D456*C456/12)</f>
        <v>0</v>
      </c>
      <c r="G456" s="53">
        <f>IF(OR(A456&gt;'Immobilien-Kalkulation'!$B$70*12,D456&lt;=0),0,MAX(0,MIN(D456,E456-F456)))</f>
        <v>0</v>
      </c>
      <c r="H456" s="95">
        <v>0</v>
      </c>
      <c r="I456" s="53">
        <f>IF(A456&gt;'Immobilien-Kalkulation'!$B$70*12,0,MAX(0,D456-G456-J456))</f>
        <v>0</v>
      </c>
      <c r="J456" s="53">
        <f>IF(OR(A456&gt;'Immobilien-Kalkulation'!$B$70*12,D456&lt;=0),0,MIN(H456,MAX(0,D456-G456)))</f>
        <v>0</v>
      </c>
    </row>
    <row r="457" spans="1:10" x14ac:dyDescent="0.25">
      <c r="A457">
        <v>454</v>
      </c>
      <c r="B457">
        <f t="shared" si="7"/>
        <v>38</v>
      </c>
      <c r="C457" s="28">
        <f>IF(A457&gt;'Immobilien-Kalkulation'!$B$70*12,0,IF(AND('Immobilien-Kalkulation'!$B$72=1,B457&gt;'Immobilien-Kalkulation'!$B$69),'Immobilien-Kalkulation'!$B$73,'Immobilien-Kalkulation'!$B$65))</f>
        <v>0</v>
      </c>
      <c r="D457" s="53">
        <f>IF(A457&gt;'Immobilien-Kalkulation'!$B$70*12,0,I456)</f>
        <v>0</v>
      </c>
      <c r="E457" s="53">
        <f>IF(OR(A457&gt;'Immobilien-Kalkulation'!$B$70*12,D457&lt;=0),0,IF(AND('Immobilien-Kalkulation'!$B$72=1,B457&gt;'Immobilien-Kalkulation'!$B$69),MIN(D457*C457/12+'Immobilien-Kalkulation'!$B$74/12,D457*(1+C457/12)),MIN('Immobilien-Kalkulation'!$B$67,D457*(1+C457/12))))</f>
        <v>0</v>
      </c>
      <c r="F457" s="53">
        <f>IF(OR(A457&gt;'Immobilien-Kalkulation'!$B$70*12,D457&lt;=0),0,D457*C457/12)</f>
        <v>0</v>
      </c>
      <c r="G457" s="53">
        <f>IF(OR(A457&gt;'Immobilien-Kalkulation'!$B$70*12,D457&lt;=0),0,MAX(0,MIN(D457,E457-F457)))</f>
        <v>0</v>
      </c>
      <c r="H457" s="95">
        <v>0</v>
      </c>
      <c r="I457" s="53">
        <f>IF(A457&gt;'Immobilien-Kalkulation'!$B$70*12,0,MAX(0,D457-G457-J457))</f>
        <v>0</v>
      </c>
      <c r="J457" s="53">
        <f>IF(OR(A457&gt;'Immobilien-Kalkulation'!$B$70*12,D457&lt;=0),0,MIN(H457,MAX(0,D457-G457)))</f>
        <v>0</v>
      </c>
    </row>
    <row r="458" spans="1:10" x14ac:dyDescent="0.25">
      <c r="A458">
        <v>455</v>
      </c>
      <c r="B458">
        <f t="shared" si="7"/>
        <v>38</v>
      </c>
      <c r="C458" s="28">
        <f>IF(A458&gt;'Immobilien-Kalkulation'!$B$70*12,0,IF(AND('Immobilien-Kalkulation'!$B$72=1,B458&gt;'Immobilien-Kalkulation'!$B$69),'Immobilien-Kalkulation'!$B$73,'Immobilien-Kalkulation'!$B$65))</f>
        <v>0</v>
      </c>
      <c r="D458" s="53">
        <f>IF(A458&gt;'Immobilien-Kalkulation'!$B$70*12,0,I457)</f>
        <v>0</v>
      </c>
      <c r="E458" s="53">
        <f>IF(OR(A458&gt;'Immobilien-Kalkulation'!$B$70*12,D458&lt;=0),0,IF(AND('Immobilien-Kalkulation'!$B$72=1,B458&gt;'Immobilien-Kalkulation'!$B$69),MIN(D458*C458/12+'Immobilien-Kalkulation'!$B$74/12,D458*(1+C458/12)),MIN('Immobilien-Kalkulation'!$B$67,D458*(1+C458/12))))</f>
        <v>0</v>
      </c>
      <c r="F458" s="53">
        <f>IF(OR(A458&gt;'Immobilien-Kalkulation'!$B$70*12,D458&lt;=0),0,D458*C458/12)</f>
        <v>0</v>
      </c>
      <c r="G458" s="53">
        <f>IF(OR(A458&gt;'Immobilien-Kalkulation'!$B$70*12,D458&lt;=0),0,MAX(0,MIN(D458,E458-F458)))</f>
        <v>0</v>
      </c>
      <c r="H458" s="95">
        <v>0</v>
      </c>
      <c r="I458" s="53">
        <f>IF(A458&gt;'Immobilien-Kalkulation'!$B$70*12,0,MAX(0,D458-G458-J458))</f>
        <v>0</v>
      </c>
      <c r="J458" s="53">
        <f>IF(OR(A458&gt;'Immobilien-Kalkulation'!$B$70*12,D458&lt;=0),0,MIN(H458,MAX(0,D458-G458)))</f>
        <v>0</v>
      </c>
    </row>
    <row r="459" spans="1:10" x14ac:dyDescent="0.25">
      <c r="A459">
        <v>456</v>
      </c>
      <c r="B459">
        <f t="shared" si="7"/>
        <v>38</v>
      </c>
      <c r="C459" s="28">
        <f>IF(A459&gt;'Immobilien-Kalkulation'!$B$70*12,0,IF(AND('Immobilien-Kalkulation'!$B$72=1,B459&gt;'Immobilien-Kalkulation'!$B$69),'Immobilien-Kalkulation'!$B$73,'Immobilien-Kalkulation'!$B$65))</f>
        <v>0</v>
      </c>
      <c r="D459" s="53">
        <f>IF(A459&gt;'Immobilien-Kalkulation'!$B$70*12,0,I458)</f>
        <v>0</v>
      </c>
      <c r="E459" s="53">
        <f>IF(OR(A459&gt;'Immobilien-Kalkulation'!$B$70*12,D459&lt;=0),0,IF(AND('Immobilien-Kalkulation'!$B$72=1,B459&gt;'Immobilien-Kalkulation'!$B$69),MIN(D459*C459/12+'Immobilien-Kalkulation'!$B$74/12,D459*(1+C459/12)),MIN('Immobilien-Kalkulation'!$B$67,D459*(1+C459/12))))</f>
        <v>0</v>
      </c>
      <c r="F459" s="53">
        <f>IF(OR(A459&gt;'Immobilien-Kalkulation'!$B$70*12,D459&lt;=0),0,D459*C459/12)</f>
        <v>0</v>
      </c>
      <c r="G459" s="53">
        <f>IF(OR(A459&gt;'Immobilien-Kalkulation'!$B$70*12,D459&lt;=0),0,MAX(0,MIN(D459,E459-F459)))</f>
        <v>0</v>
      </c>
      <c r="H459" s="95">
        <v>0</v>
      </c>
      <c r="I459" s="53">
        <f>IF(A459&gt;'Immobilien-Kalkulation'!$B$70*12,0,MAX(0,D459-G459-J459))</f>
        <v>0</v>
      </c>
      <c r="J459" s="53">
        <f>IF(OR(A459&gt;'Immobilien-Kalkulation'!$B$70*12,D459&lt;=0),0,MIN(H459,MAX(0,D459-G459)))</f>
        <v>0</v>
      </c>
    </row>
    <row r="460" spans="1:10" x14ac:dyDescent="0.25">
      <c r="A460">
        <v>457</v>
      </c>
      <c r="B460">
        <f t="shared" si="7"/>
        <v>39</v>
      </c>
      <c r="C460" s="28">
        <f>IF(A460&gt;'Immobilien-Kalkulation'!$B$70*12,0,IF(AND('Immobilien-Kalkulation'!$B$72=1,B460&gt;'Immobilien-Kalkulation'!$B$69),'Immobilien-Kalkulation'!$B$73,'Immobilien-Kalkulation'!$B$65))</f>
        <v>0</v>
      </c>
      <c r="D460" s="53">
        <f>IF(A460&gt;'Immobilien-Kalkulation'!$B$70*12,0,I459)</f>
        <v>0</v>
      </c>
      <c r="E460" s="53">
        <f>IF(OR(A460&gt;'Immobilien-Kalkulation'!$B$70*12,D460&lt;=0),0,IF(AND('Immobilien-Kalkulation'!$B$72=1,B460&gt;'Immobilien-Kalkulation'!$B$69),MIN(D460*C460/12+'Immobilien-Kalkulation'!$B$74/12,D460*(1+C460/12)),MIN('Immobilien-Kalkulation'!$B$67,D460*(1+C460/12))))</f>
        <v>0</v>
      </c>
      <c r="F460" s="53">
        <f>IF(OR(A460&gt;'Immobilien-Kalkulation'!$B$70*12,D460&lt;=0),0,D460*C460/12)</f>
        <v>0</v>
      </c>
      <c r="G460" s="53">
        <f>IF(OR(A460&gt;'Immobilien-Kalkulation'!$B$70*12,D460&lt;=0),0,MAX(0,MIN(D460,E460-F460)))</f>
        <v>0</v>
      </c>
      <c r="H460" s="95">
        <v>0</v>
      </c>
      <c r="I460" s="53">
        <f>IF(A460&gt;'Immobilien-Kalkulation'!$B$70*12,0,MAX(0,D460-G460-J460))</f>
        <v>0</v>
      </c>
      <c r="J460" s="53">
        <f>IF(OR(A460&gt;'Immobilien-Kalkulation'!$B$70*12,D460&lt;=0),0,MIN(H460,MAX(0,D460-G460)))</f>
        <v>0</v>
      </c>
    </row>
    <row r="461" spans="1:10" x14ac:dyDescent="0.25">
      <c r="A461">
        <v>458</v>
      </c>
      <c r="B461">
        <f t="shared" si="7"/>
        <v>39</v>
      </c>
      <c r="C461" s="28">
        <f>IF(A461&gt;'Immobilien-Kalkulation'!$B$70*12,0,IF(AND('Immobilien-Kalkulation'!$B$72=1,B461&gt;'Immobilien-Kalkulation'!$B$69),'Immobilien-Kalkulation'!$B$73,'Immobilien-Kalkulation'!$B$65))</f>
        <v>0</v>
      </c>
      <c r="D461" s="53">
        <f>IF(A461&gt;'Immobilien-Kalkulation'!$B$70*12,0,I460)</f>
        <v>0</v>
      </c>
      <c r="E461" s="53">
        <f>IF(OR(A461&gt;'Immobilien-Kalkulation'!$B$70*12,D461&lt;=0),0,IF(AND('Immobilien-Kalkulation'!$B$72=1,B461&gt;'Immobilien-Kalkulation'!$B$69),MIN(D461*C461/12+'Immobilien-Kalkulation'!$B$74/12,D461*(1+C461/12)),MIN('Immobilien-Kalkulation'!$B$67,D461*(1+C461/12))))</f>
        <v>0</v>
      </c>
      <c r="F461" s="53">
        <f>IF(OR(A461&gt;'Immobilien-Kalkulation'!$B$70*12,D461&lt;=0),0,D461*C461/12)</f>
        <v>0</v>
      </c>
      <c r="G461" s="53">
        <f>IF(OR(A461&gt;'Immobilien-Kalkulation'!$B$70*12,D461&lt;=0),0,MAX(0,MIN(D461,E461-F461)))</f>
        <v>0</v>
      </c>
      <c r="H461" s="95">
        <v>0</v>
      </c>
      <c r="I461" s="53">
        <f>IF(A461&gt;'Immobilien-Kalkulation'!$B$70*12,0,MAX(0,D461-G461-J461))</f>
        <v>0</v>
      </c>
      <c r="J461" s="53">
        <f>IF(OR(A461&gt;'Immobilien-Kalkulation'!$B$70*12,D461&lt;=0),0,MIN(H461,MAX(0,D461-G461)))</f>
        <v>0</v>
      </c>
    </row>
    <row r="462" spans="1:10" x14ac:dyDescent="0.25">
      <c r="A462">
        <v>459</v>
      </c>
      <c r="B462">
        <f t="shared" si="7"/>
        <v>39</v>
      </c>
      <c r="C462" s="28">
        <f>IF(A462&gt;'Immobilien-Kalkulation'!$B$70*12,0,IF(AND('Immobilien-Kalkulation'!$B$72=1,B462&gt;'Immobilien-Kalkulation'!$B$69),'Immobilien-Kalkulation'!$B$73,'Immobilien-Kalkulation'!$B$65))</f>
        <v>0</v>
      </c>
      <c r="D462" s="53">
        <f>IF(A462&gt;'Immobilien-Kalkulation'!$B$70*12,0,I461)</f>
        <v>0</v>
      </c>
      <c r="E462" s="53">
        <f>IF(OR(A462&gt;'Immobilien-Kalkulation'!$B$70*12,D462&lt;=0),0,IF(AND('Immobilien-Kalkulation'!$B$72=1,B462&gt;'Immobilien-Kalkulation'!$B$69),MIN(D462*C462/12+'Immobilien-Kalkulation'!$B$74/12,D462*(1+C462/12)),MIN('Immobilien-Kalkulation'!$B$67,D462*(1+C462/12))))</f>
        <v>0</v>
      </c>
      <c r="F462" s="53">
        <f>IF(OR(A462&gt;'Immobilien-Kalkulation'!$B$70*12,D462&lt;=0),0,D462*C462/12)</f>
        <v>0</v>
      </c>
      <c r="G462" s="53">
        <f>IF(OR(A462&gt;'Immobilien-Kalkulation'!$B$70*12,D462&lt;=0),0,MAX(0,MIN(D462,E462-F462)))</f>
        <v>0</v>
      </c>
      <c r="H462" s="95">
        <v>0</v>
      </c>
      <c r="I462" s="53">
        <f>IF(A462&gt;'Immobilien-Kalkulation'!$B$70*12,0,MAX(0,D462-G462-J462))</f>
        <v>0</v>
      </c>
      <c r="J462" s="53">
        <f>IF(OR(A462&gt;'Immobilien-Kalkulation'!$B$70*12,D462&lt;=0),0,MIN(H462,MAX(0,D462-G462)))</f>
        <v>0</v>
      </c>
    </row>
    <row r="463" spans="1:10" x14ac:dyDescent="0.25">
      <c r="A463">
        <v>460</v>
      </c>
      <c r="B463">
        <f t="shared" si="7"/>
        <v>39</v>
      </c>
      <c r="C463" s="28">
        <f>IF(A463&gt;'Immobilien-Kalkulation'!$B$70*12,0,IF(AND('Immobilien-Kalkulation'!$B$72=1,B463&gt;'Immobilien-Kalkulation'!$B$69),'Immobilien-Kalkulation'!$B$73,'Immobilien-Kalkulation'!$B$65))</f>
        <v>0</v>
      </c>
      <c r="D463" s="53">
        <f>IF(A463&gt;'Immobilien-Kalkulation'!$B$70*12,0,I462)</f>
        <v>0</v>
      </c>
      <c r="E463" s="53">
        <f>IF(OR(A463&gt;'Immobilien-Kalkulation'!$B$70*12,D463&lt;=0),0,IF(AND('Immobilien-Kalkulation'!$B$72=1,B463&gt;'Immobilien-Kalkulation'!$B$69),MIN(D463*C463/12+'Immobilien-Kalkulation'!$B$74/12,D463*(1+C463/12)),MIN('Immobilien-Kalkulation'!$B$67,D463*(1+C463/12))))</f>
        <v>0</v>
      </c>
      <c r="F463" s="53">
        <f>IF(OR(A463&gt;'Immobilien-Kalkulation'!$B$70*12,D463&lt;=0),0,D463*C463/12)</f>
        <v>0</v>
      </c>
      <c r="G463" s="53">
        <f>IF(OR(A463&gt;'Immobilien-Kalkulation'!$B$70*12,D463&lt;=0),0,MAX(0,MIN(D463,E463-F463)))</f>
        <v>0</v>
      </c>
      <c r="H463" s="95">
        <v>0</v>
      </c>
      <c r="I463" s="53">
        <f>IF(A463&gt;'Immobilien-Kalkulation'!$B$70*12,0,MAX(0,D463-G463-J463))</f>
        <v>0</v>
      </c>
      <c r="J463" s="53">
        <f>IF(OR(A463&gt;'Immobilien-Kalkulation'!$B$70*12,D463&lt;=0),0,MIN(H463,MAX(0,D463-G463)))</f>
        <v>0</v>
      </c>
    </row>
    <row r="464" spans="1:10" x14ac:dyDescent="0.25">
      <c r="A464">
        <v>461</v>
      </c>
      <c r="B464">
        <f t="shared" si="7"/>
        <v>39</v>
      </c>
      <c r="C464" s="28">
        <f>IF(A464&gt;'Immobilien-Kalkulation'!$B$70*12,0,IF(AND('Immobilien-Kalkulation'!$B$72=1,B464&gt;'Immobilien-Kalkulation'!$B$69),'Immobilien-Kalkulation'!$B$73,'Immobilien-Kalkulation'!$B$65))</f>
        <v>0</v>
      </c>
      <c r="D464" s="53">
        <f>IF(A464&gt;'Immobilien-Kalkulation'!$B$70*12,0,I463)</f>
        <v>0</v>
      </c>
      <c r="E464" s="53">
        <f>IF(OR(A464&gt;'Immobilien-Kalkulation'!$B$70*12,D464&lt;=0),0,IF(AND('Immobilien-Kalkulation'!$B$72=1,B464&gt;'Immobilien-Kalkulation'!$B$69),MIN(D464*C464/12+'Immobilien-Kalkulation'!$B$74/12,D464*(1+C464/12)),MIN('Immobilien-Kalkulation'!$B$67,D464*(1+C464/12))))</f>
        <v>0</v>
      </c>
      <c r="F464" s="53">
        <f>IF(OR(A464&gt;'Immobilien-Kalkulation'!$B$70*12,D464&lt;=0),0,D464*C464/12)</f>
        <v>0</v>
      </c>
      <c r="G464" s="53">
        <f>IF(OR(A464&gt;'Immobilien-Kalkulation'!$B$70*12,D464&lt;=0),0,MAX(0,MIN(D464,E464-F464)))</f>
        <v>0</v>
      </c>
      <c r="H464" s="95">
        <v>0</v>
      </c>
      <c r="I464" s="53">
        <f>IF(A464&gt;'Immobilien-Kalkulation'!$B$70*12,0,MAX(0,D464-G464-J464))</f>
        <v>0</v>
      </c>
      <c r="J464" s="53">
        <f>IF(OR(A464&gt;'Immobilien-Kalkulation'!$B$70*12,D464&lt;=0),0,MIN(H464,MAX(0,D464-G464)))</f>
        <v>0</v>
      </c>
    </row>
    <row r="465" spans="1:10" x14ac:dyDescent="0.25">
      <c r="A465">
        <v>462</v>
      </c>
      <c r="B465">
        <f t="shared" si="7"/>
        <v>39</v>
      </c>
      <c r="C465" s="28">
        <f>IF(A465&gt;'Immobilien-Kalkulation'!$B$70*12,0,IF(AND('Immobilien-Kalkulation'!$B$72=1,B465&gt;'Immobilien-Kalkulation'!$B$69),'Immobilien-Kalkulation'!$B$73,'Immobilien-Kalkulation'!$B$65))</f>
        <v>0</v>
      </c>
      <c r="D465" s="53">
        <f>IF(A465&gt;'Immobilien-Kalkulation'!$B$70*12,0,I464)</f>
        <v>0</v>
      </c>
      <c r="E465" s="53">
        <f>IF(OR(A465&gt;'Immobilien-Kalkulation'!$B$70*12,D465&lt;=0),0,IF(AND('Immobilien-Kalkulation'!$B$72=1,B465&gt;'Immobilien-Kalkulation'!$B$69),MIN(D465*C465/12+'Immobilien-Kalkulation'!$B$74/12,D465*(1+C465/12)),MIN('Immobilien-Kalkulation'!$B$67,D465*(1+C465/12))))</f>
        <v>0</v>
      </c>
      <c r="F465" s="53">
        <f>IF(OR(A465&gt;'Immobilien-Kalkulation'!$B$70*12,D465&lt;=0),0,D465*C465/12)</f>
        <v>0</v>
      </c>
      <c r="G465" s="53">
        <f>IF(OR(A465&gt;'Immobilien-Kalkulation'!$B$70*12,D465&lt;=0),0,MAX(0,MIN(D465,E465-F465)))</f>
        <v>0</v>
      </c>
      <c r="H465" s="95">
        <v>0</v>
      </c>
      <c r="I465" s="53">
        <f>IF(A465&gt;'Immobilien-Kalkulation'!$B$70*12,0,MAX(0,D465-G465-J465))</f>
        <v>0</v>
      </c>
      <c r="J465" s="53">
        <f>IF(OR(A465&gt;'Immobilien-Kalkulation'!$B$70*12,D465&lt;=0),0,MIN(H465,MAX(0,D465-G465)))</f>
        <v>0</v>
      </c>
    </row>
    <row r="466" spans="1:10" x14ac:dyDescent="0.25">
      <c r="A466">
        <v>463</v>
      </c>
      <c r="B466">
        <f t="shared" si="7"/>
        <v>39</v>
      </c>
      <c r="C466" s="28">
        <f>IF(A466&gt;'Immobilien-Kalkulation'!$B$70*12,0,IF(AND('Immobilien-Kalkulation'!$B$72=1,B466&gt;'Immobilien-Kalkulation'!$B$69),'Immobilien-Kalkulation'!$B$73,'Immobilien-Kalkulation'!$B$65))</f>
        <v>0</v>
      </c>
      <c r="D466" s="53">
        <f>IF(A466&gt;'Immobilien-Kalkulation'!$B$70*12,0,I465)</f>
        <v>0</v>
      </c>
      <c r="E466" s="53">
        <f>IF(OR(A466&gt;'Immobilien-Kalkulation'!$B$70*12,D466&lt;=0),0,IF(AND('Immobilien-Kalkulation'!$B$72=1,B466&gt;'Immobilien-Kalkulation'!$B$69),MIN(D466*C466/12+'Immobilien-Kalkulation'!$B$74/12,D466*(1+C466/12)),MIN('Immobilien-Kalkulation'!$B$67,D466*(1+C466/12))))</f>
        <v>0</v>
      </c>
      <c r="F466" s="53">
        <f>IF(OR(A466&gt;'Immobilien-Kalkulation'!$B$70*12,D466&lt;=0),0,D466*C466/12)</f>
        <v>0</v>
      </c>
      <c r="G466" s="53">
        <f>IF(OR(A466&gt;'Immobilien-Kalkulation'!$B$70*12,D466&lt;=0),0,MAX(0,MIN(D466,E466-F466)))</f>
        <v>0</v>
      </c>
      <c r="H466" s="95">
        <v>0</v>
      </c>
      <c r="I466" s="53">
        <f>IF(A466&gt;'Immobilien-Kalkulation'!$B$70*12,0,MAX(0,D466-G466-J466))</f>
        <v>0</v>
      </c>
      <c r="J466" s="53">
        <f>IF(OR(A466&gt;'Immobilien-Kalkulation'!$B$70*12,D466&lt;=0),0,MIN(H466,MAX(0,D466-G466)))</f>
        <v>0</v>
      </c>
    </row>
    <row r="467" spans="1:10" x14ac:dyDescent="0.25">
      <c r="A467">
        <v>464</v>
      </c>
      <c r="B467">
        <f t="shared" si="7"/>
        <v>39</v>
      </c>
      <c r="C467" s="28">
        <f>IF(A467&gt;'Immobilien-Kalkulation'!$B$70*12,0,IF(AND('Immobilien-Kalkulation'!$B$72=1,B467&gt;'Immobilien-Kalkulation'!$B$69),'Immobilien-Kalkulation'!$B$73,'Immobilien-Kalkulation'!$B$65))</f>
        <v>0</v>
      </c>
      <c r="D467" s="53">
        <f>IF(A467&gt;'Immobilien-Kalkulation'!$B$70*12,0,I466)</f>
        <v>0</v>
      </c>
      <c r="E467" s="53">
        <f>IF(OR(A467&gt;'Immobilien-Kalkulation'!$B$70*12,D467&lt;=0),0,IF(AND('Immobilien-Kalkulation'!$B$72=1,B467&gt;'Immobilien-Kalkulation'!$B$69),MIN(D467*C467/12+'Immobilien-Kalkulation'!$B$74/12,D467*(1+C467/12)),MIN('Immobilien-Kalkulation'!$B$67,D467*(1+C467/12))))</f>
        <v>0</v>
      </c>
      <c r="F467" s="53">
        <f>IF(OR(A467&gt;'Immobilien-Kalkulation'!$B$70*12,D467&lt;=0),0,D467*C467/12)</f>
        <v>0</v>
      </c>
      <c r="G467" s="53">
        <f>IF(OR(A467&gt;'Immobilien-Kalkulation'!$B$70*12,D467&lt;=0),0,MAX(0,MIN(D467,E467-F467)))</f>
        <v>0</v>
      </c>
      <c r="H467" s="95">
        <v>0</v>
      </c>
      <c r="I467" s="53">
        <f>IF(A467&gt;'Immobilien-Kalkulation'!$B$70*12,0,MAX(0,D467-G467-J467))</f>
        <v>0</v>
      </c>
      <c r="J467" s="53">
        <f>IF(OR(A467&gt;'Immobilien-Kalkulation'!$B$70*12,D467&lt;=0),0,MIN(H467,MAX(0,D467-G467)))</f>
        <v>0</v>
      </c>
    </row>
    <row r="468" spans="1:10" x14ac:dyDescent="0.25">
      <c r="A468">
        <v>465</v>
      </c>
      <c r="B468">
        <f t="shared" si="7"/>
        <v>39</v>
      </c>
      <c r="C468" s="28">
        <f>IF(A468&gt;'Immobilien-Kalkulation'!$B$70*12,0,IF(AND('Immobilien-Kalkulation'!$B$72=1,B468&gt;'Immobilien-Kalkulation'!$B$69),'Immobilien-Kalkulation'!$B$73,'Immobilien-Kalkulation'!$B$65))</f>
        <v>0</v>
      </c>
      <c r="D468" s="53">
        <f>IF(A468&gt;'Immobilien-Kalkulation'!$B$70*12,0,I467)</f>
        <v>0</v>
      </c>
      <c r="E468" s="53">
        <f>IF(OR(A468&gt;'Immobilien-Kalkulation'!$B$70*12,D468&lt;=0),0,IF(AND('Immobilien-Kalkulation'!$B$72=1,B468&gt;'Immobilien-Kalkulation'!$B$69),MIN(D468*C468/12+'Immobilien-Kalkulation'!$B$74/12,D468*(1+C468/12)),MIN('Immobilien-Kalkulation'!$B$67,D468*(1+C468/12))))</f>
        <v>0</v>
      </c>
      <c r="F468" s="53">
        <f>IF(OR(A468&gt;'Immobilien-Kalkulation'!$B$70*12,D468&lt;=0),0,D468*C468/12)</f>
        <v>0</v>
      </c>
      <c r="G468" s="53">
        <f>IF(OR(A468&gt;'Immobilien-Kalkulation'!$B$70*12,D468&lt;=0),0,MAX(0,MIN(D468,E468-F468)))</f>
        <v>0</v>
      </c>
      <c r="H468" s="95">
        <v>0</v>
      </c>
      <c r="I468" s="53">
        <f>IF(A468&gt;'Immobilien-Kalkulation'!$B$70*12,0,MAX(0,D468-G468-J468))</f>
        <v>0</v>
      </c>
      <c r="J468" s="53">
        <f>IF(OR(A468&gt;'Immobilien-Kalkulation'!$B$70*12,D468&lt;=0),0,MIN(H468,MAX(0,D468-G468)))</f>
        <v>0</v>
      </c>
    </row>
    <row r="469" spans="1:10" x14ac:dyDescent="0.25">
      <c r="A469">
        <v>466</v>
      </c>
      <c r="B469">
        <f t="shared" si="7"/>
        <v>39</v>
      </c>
      <c r="C469" s="28">
        <f>IF(A469&gt;'Immobilien-Kalkulation'!$B$70*12,0,IF(AND('Immobilien-Kalkulation'!$B$72=1,B469&gt;'Immobilien-Kalkulation'!$B$69),'Immobilien-Kalkulation'!$B$73,'Immobilien-Kalkulation'!$B$65))</f>
        <v>0</v>
      </c>
      <c r="D469" s="53">
        <f>IF(A469&gt;'Immobilien-Kalkulation'!$B$70*12,0,I468)</f>
        <v>0</v>
      </c>
      <c r="E469" s="53">
        <f>IF(OR(A469&gt;'Immobilien-Kalkulation'!$B$70*12,D469&lt;=0),0,IF(AND('Immobilien-Kalkulation'!$B$72=1,B469&gt;'Immobilien-Kalkulation'!$B$69),MIN(D469*C469/12+'Immobilien-Kalkulation'!$B$74/12,D469*(1+C469/12)),MIN('Immobilien-Kalkulation'!$B$67,D469*(1+C469/12))))</f>
        <v>0</v>
      </c>
      <c r="F469" s="53">
        <f>IF(OR(A469&gt;'Immobilien-Kalkulation'!$B$70*12,D469&lt;=0),0,D469*C469/12)</f>
        <v>0</v>
      </c>
      <c r="G469" s="53">
        <f>IF(OR(A469&gt;'Immobilien-Kalkulation'!$B$70*12,D469&lt;=0),0,MAX(0,MIN(D469,E469-F469)))</f>
        <v>0</v>
      </c>
      <c r="H469" s="95">
        <v>0</v>
      </c>
      <c r="I469" s="53">
        <f>IF(A469&gt;'Immobilien-Kalkulation'!$B$70*12,0,MAX(0,D469-G469-J469))</f>
        <v>0</v>
      </c>
      <c r="J469" s="53">
        <f>IF(OR(A469&gt;'Immobilien-Kalkulation'!$B$70*12,D469&lt;=0),0,MIN(H469,MAX(0,D469-G469)))</f>
        <v>0</v>
      </c>
    </row>
    <row r="470" spans="1:10" x14ac:dyDescent="0.25">
      <c r="A470">
        <v>467</v>
      </c>
      <c r="B470">
        <f t="shared" si="7"/>
        <v>39</v>
      </c>
      <c r="C470" s="28">
        <f>IF(A470&gt;'Immobilien-Kalkulation'!$B$70*12,0,IF(AND('Immobilien-Kalkulation'!$B$72=1,B470&gt;'Immobilien-Kalkulation'!$B$69),'Immobilien-Kalkulation'!$B$73,'Immobilien-Kalkulation'!$B$65))</f>
        <v>0</v>
      </c>
      <c r="D470" s="53">
        <f>IF(A470&gt;'Immobilien-Kalkulation'!$B$70*12,0,I469)</f>
        <v>0</v>
      </c>
      <c r="E470" s="53">
        <f>IF(OR(A470&gt;'Immobilien-Kalkulation'!$B$70*12,D470&lt;=0),0,IF(AND('Immobilien-Kalkulation'!$B$72=1,B470&gt;'Immobilien-Kalkulation'!$B$69),MIN(D470*C470/12+'Immobilien-Kalkulation'!$B$74/12,D470*(1+C470/12)),MIN('Immobilien-Kalkulation'!$B$67,D470*(1+C470/12))))</f>
        <v>0</v>
      </c>
      <c r="F470" s="53">
        <f>IF(OR(A470&gt;'Immobilien-Kalkulation'!$B$70*12,D470&lt;=0),0,D470*C470/12)</f>
        <v>0</v>
      </c>
      <c r="G470" s="53">
        <f>IF(OR(A470&gt;'Immobilien-Kalkulation'!$B$70*12,D470&lt;=0),0,MAX(0,MIN(D470,E470-F470)))</f>
        <v>0</v>
      </c>
      <c r="H470" s="95">
        <v>0</v>
      </c>
      <c r="I470" s="53">
        <f>IF(A470&gt;'Immobilien-Kalkulation'!$B$70*12,0,MAX(0,D470-G470-J470))</f>
        <v>0</v>
      </c>
      <c r="J470" s="53">
        <f>IF(OR(A470&gt;'Immobilien-Kalkulation'!$B$70*12,D470&lt;=0),0,MIN(H470,MAX(0,D470-G470)))</f>
        <v>0</v>
      </c>
    </row>
    <row r="471" spans="1:10" x14ac:dyDescent="0.25">
      <c r="A471">
        <v>468</v>
      </c>
      <c r="B471">
        <f t="shared" si="7"/>
        <v>39</v>
      </c>
      <c r="C471" s="28">
        <f>IF(A471&gt;'Immobilien-Kalkulation'!$B$70*12,0,IF(AND('Immobilien-Kalkulation'!$B$72=1,B471&gt;'Immobilien-Kalkulation'!$B$69),'Immobilien-Kalkulation'!$B$73,'Immobilien-Kalkulation'!$B$65))</f>
        <v>0</v>
      </c>
      <c r="D471" s="53">
        <f>IF(A471&gt;'Immobilien-Kalkulation'!$B$70*12,0,I470)</f>
        <v>0</v>
      </c>
      <c r="E471" s="53">
        <f>IF(OR(A471&gt;'Immobilien-Kalkulation'!$B$70*12,D471&lt;=0),0,IF(AND('Immobilien-Kalkulation'!$B$72=1,B471&gt;'Immobilien-Kalkulation'!$B$69),MIN(D471*C471/12+'Immobilien-Kalkulation'!$B$74/12,D471*(1+C471/12)),MIN('Immobilien-Kalkulation'!$B$67,D471*(1+C471/12))))</f>
        <v>0</v>
      </c>
      <c r="F471" s="53">
        <f>IF(OR(A471&gt;'Immobilien-Kalkulation'!$B$70*12,D471&lt;=0),0,D471*C471/12)</f>
        <v>0</v>
      </c>
      <c r="G471" s="53">
        <f>IF(OR(A471&gt;'Immobilien-Kalkulation'!$B$70*12,D471&lt;=0),0,MAX(0,MIN(D471,E471-F471)))</f>
        <v>0</v>
      </c>
      <c r="H471" s="95">
        <v>0</v>
      </c>
      <c r="I471" s="53">
        <f>IF(A471&gt;'Immobilien-Kalkulation'!$B$70*12,0,MAX(0,D471-G471-J471))</f>
        <v>0</v>
      </c>
      <c r="J471" s="53">
        <f>IF(OR(A471&gt;'Immobilien-Kalkulation'!$B$70*12,D471&lt;=0),0,MIN(H471,MAX(0,D471-G471)))</f>
        <v>0</v>
      </c>
    </row>
    <row r="472" spans="1:10" x14ac:dyDescent="0.25">
      <c r="A472">
        <v>469</v>
      </c>
      <c r="B472">
        <f t="shared" si="7"/>
        <v>40</v>
      </c>
      <c r="C472" s="28">
        <f>IF(A472&gt;'Immobilien-Kalkulation'!$B$70*12,0,IF(AND('Immobilien-Kalkulation'!$B$72=1,B472&gt;'Immobilien-Kalkulation'!$B$69),'Immobilien-Kalkulation'!$B$73,'Immobilien-Kalkulation'!$B$65))</f>
        <v>0</v>
      </c>
      <c r="D472" s="53">
        <f>IF(A472&gt;'Immobilien-Kalkulation'!$B$70*12,0,I471)</f>
        <v>0</v>
      </c>
      <c r="E472" s="53">
        <f>IF(OR(A472&gt;'Immobilien-Kalkulation'!$B$70*12,D472&lt;=0),0,IF(AND('Immobilien-Kalkulation'!$B$72=1,B472&gt;'Immobilien-Kalkulation'!$B$69),MIN(D472*C472/12+'Immobilien-Kalkulation'!$B$74/12,D472*(1+C472/12)),MIN('Immobilien-Kalkulation'!$B$67,D472*(1+C472/12))))</f>
        <v>0</v>
      </c>
      <c r="F472" s="53">
        <f>IF(OR(A472&gt;'Immobilien-Kalkulation'!$B$70*12,D472&lt;=0),0,D472*C472/12)</f>
        <v>0</v>
      </c>
      <c r="G472" s="53">
        <f>IF(OR(A472&gt;'Immobilien-Kalkulation'!$B$70*12,D472&lt;=0),0,MAX(0,MIN(D472,E472-F472)))</f>
        <v>0</v>
      </c>
      <c r="H472" s="95">
        <v>0</v>
      </c>
      <c r="I472" s="53">
        <f>IF(A472&gt;'Immobilien-Kalkulation'!$B$70*12,0,MAX(0,D472-G472-J472))</f>
        <v>0</v>
      </c>
      <c r="J472" s="53">
        <f>IF(OR(A472&gt;'Immobilien-Kalkulation'!$B$70*12,D472&lt;=0),0,MIN(H472,MAX(0,D472-G472)))</f>
        <v>0</v>
      </c>
    </row>
    <row r="473" spans="1:10" x14ac:dyDescent="0.25">
      <c r="A473">
        <v>470</v>
      </c>
      <c r="B473">
        <f t="shared" si="7"/>
        <v>40</v>
      </c>
      <c r="C473" s="28">
        <f>IF(A473&gt;'Immobilien-Kalkulation'!$B$70*12,0,IF(AND('Immobilien-Kalkulation'!$B$72=1,B473&gt;'Immobilien-Kalkulation'!$B$69),'Immobilien-Kalkulation'!$B$73,'Immobilien-Kalkulation'!$B$65))</f>
        <v>0</v>
      </c>
      <c r="D473" s="53">
        <f>IF(A473&gt;'Immobilien-Kalkulation'!$B$70*12,0,I472)</f>
        <v>0</v>
      </c>
      <c r="E473" s="53">
        <f>IF(OR(A473&gt;'Immobilien-Kalkulation'!$B$70*12,D473&lt;=0),0,IF(AND('Immobilien-Kalkulation'!$B$72=1,B473&gt;'Immobilien-Kalkulation'!$B$69),MIN(D473*C473/12+'Immobilien-Kalkulation'!$B$74/12,D473*(1+C473/12)),MIN('Immobilien-Kalkulation'!$B$67,D473*(1+C473/12))))</f>
        <v>0</v>
      </c>
      <c r="F473" s="53">
        <f>IF(OR(A473&gt;'Immobilien-Kalkulation'!$B$70*12,D473&lt;=0),0,D473*C473/12)</f>
        <v>0</v>
      </c>
      <c r="G473" s="53">
        <f>IF(OR(A473&gt;'Immobilien-Kalkulation'!$B$70*12,D473&lt;=0),0,MAX(0,MIN(D473,E473-F473)))</f>
        <v>0</v>
      </c>
      <c r="H473" s="95">
        <v>0</v>
      </c>
      <c r="I473" s="53">
        <f>IF(A473&gt;'Immobilien-Kalkulation'!$B$70*12,0,MAX(0,D473-G473-J473))</f>
        <v>0</v>
      </c>
      <c r="J473" s="53">
        <f>IF(OR(A473&gt;'Immobilien-Kalkulation'!$B$70*12,D473&lt;=0),0,MIN(H473,MAX(0,D473-G473)))</f>
        <v>0</v>
      </c>
    </row>
    <row r="474" spans="1:10" x14ac:dyDescent="0.25">
      <c r="A474">
        <v>471</v>
      </c>
      <c r="B474">
        <f t="shared" si="7"/>
        <v>40</v>
      </c>
      <c r="C474" s="28">
        <f>IF(A474&gt;'Immobilien-Kalkulation'!$B$70*12,0,IF(AND('Immobilien-Kalkulation'!$B$72=1,B474&gt;'Immobilien-Kalkulation'!$B$69),'Immobilien-Kalkulation'!$B$73,'Immobilien-Kalkulation'!$B$65))</f>
        <v>0</v>
      </c>
      <c r="D474" s="53">
        <f>IF(A474&gt;'Immobilien-Kalkulation'!$B$70*12,0,I473)</f>
        <v>0</v>
      </c>
      <c r="E474" s="53">
        <f>IF(OR(A474&gt;'Immobilien-Kalkulation'!$B$70*12,D474&lt;=0),0,IF(AND('Immobilien-Kalkulation'!$B$72=1,B474&gt;'Immobilien-Kalkulation'!$B$69),MIN(D474*C474/12+'Immobilien-Kalkulation'!$B$74/12,D474*(1+C474/12)),MIN('Immobilien-Kalkulation'!$B$67,D474*(1+C474/12))))</f>
        <v>0</v>
      </c>
      <c r="F474" s="53">
        <f>IF(OR(A474&gt;'Immobilien-Kalkulation'!$B$70*12,D474&lt;=0),0,D474*C474/12)</f>
        <v>0</v>
      </c>
      <c r="G474" s="53">
        <f>IF(OR(A474&gt;'Immobilien-Kalkulation'!$B$70*12,D474&lt;=0),0,MAX(0,MIN(D474,E474-F474)))</f>
        <v>0</v>
      </c>
      <c r="H474" s="95">
        <v>0</v>
      </c>
      <c r="I474" s="53">
        <f>IF(A474&gt;'Immobilien-Kalkulation'!$B$70*12,0,MAX(0,D474-G474-J474))</f>
        <v>0</v>
      </c>
      <c r="J474" s="53">
        <f>IF(OR(A474&gt;'Immobilien-Kalkulation'!$B$70*12,D474&lt;=0),0,MIN(H474,MAX(0,D474-G474)))</f>
        <v>0</v>
      </c>
    </row>
    <row r="475" spans="1:10" x14ac:dyDescent="0.25">
      <c r="A475">
        <v>472</v>
      </c>
      <c r="B475">
        <f t="shared" si="7"/>
        <v>40</v>
      </c>
      <c r="C475" s="28">
        <f>IF(A475&gt;'Immobilien-Kalkulation'!$B$70*12,0,IF(AND('Immobilien-Kalkulation'!$B$72=1,B475&gt;'Immobilien-Kalkulation'!$B$69),'Immobilien-Kalkulation'!$B$73,'Immobilien-Kalkulation'!$B$65))</f>
        <v>0</v>
      </c>
      <c r="D475" s="53">
        <f>IF(A475&gt;'Immobilien-Kalkulation'!$B$70*12,0,I474)</f>
        <v>0</v>
      </c>
      <c r="E475" s="53">
        <f>IF(OR(A475&gt;'Immobilien-Kalkulation'!$B$70*12,D475&lt;=0),0,IF(AND('Immobilien-Kalkulation'!$B$72=1,B475&gt;'Immobilien-Kalkulation'!$B$69),MIN(D475*C475/12+'Immobilien-Kalkulation'!$B$74/12,D475*(1+C475/12)),MIN('Immobilien-Kalkulation'!$B$67,D475*(1+C475/12))))</f>
        <v>0</v>
      </c>
      <c r="F475" s="53">
        <f>IF(OR(A475&gt;'Immobilien-Kalkulation'!$B$70*12,D475&lt;=0),0,D475*C475/12)</f>
        <v>0</v>
      </c>
      <c r="G475" s="53">
        <f>IF(OR(A475&gt;'Immobilien-Kalkulation'!$B$70*12,D475&lt;=0),0,MAX(0,MIN(D475,E475-F475)))</f>
        <v>0</v>
      </c>
      <c r="H475" s="95">
        <v>0</v>
      </c>
      <c r="I475" s="53">
        <f>IF(A475&gt;'Immobilien-Kalkulation'!$B$70*12,0,MAX(0,D475-G475-J475))</f>
        <v>0</v>
      </c>
      <c r="J475" s="53">
        <f>IF(OR(A475&gt;'Immobilien-Kalkulation'!$B$70*12,D475&lt;=0),0,MIN(H475,MAX(0,D475-G475)))</f>
        <v>0</v>
      </c>
    </row>
    <row r="476" spans="1:10" x14ac:dyDescent="0.25">
      <c r="A476">
        <v>473</v>
      </c>
      <c r="B476">
        <f t="shared" si="7"/>
        <v>40</v>
      </c>
      <c r="C476" s="28">
        <f>IF(A476&gt;'Immobilien-Kalkulation'!$B$70*12,0,IF(AND('Immobilien-Kalkulation'!$B$72=1,B476&gt;'Immobilien-Kalkulation'!$B$69),'Immobilien-Kalkulation'!$B$73,'Immobilien-Kalkulation'!$B$65))</f>
        <v>0</v>
      </c>
      <c r="D476" s="53">
        <f>IF(A476&gt;'Immobilien-Kalkulation'!$B$70*12,0,I475)</f>
        <v>0</v>
      </c>
      <c r="E476" s="53">
        <f>IF(OR(A476&gt;'Immobilien-Kalkulation'!$B$70*12,D476&lt;=0),0,IF(AND('Immobilien-Kalkulation'!$B$72=1,B476&gt;'Immobilien-Kalkulation'!$B$69),MIN(D476*C476/12+'Immobilien-Kalkulation'!$B$74/12,D476*(1+C476/12)),MIN('Immobilien-Kalkulation'!$B$67,D476*(1+C476/12))))</f>
        <v>0</v>
      </c>
      <c r="F476" s="53">
        <f>IF(OR(A476&gt;'Immobilien-Kalkulation'!$B$70*12,D476&lt;=0),0,D476*C476/12)</f>
        <v>0</v>
      </c>
      <c r="G476" s="53">
        <f>IF(OR(A476&gt;'Immobilien-Kalkulation'!$B$70*12,D476&lt;=0),0,MAX(0,MIN(D476,E476-F476)))</f>
        <v>0</v>
      </c>
      <c r="H476" s="95">
        <v>0</v>
      </c>
      <c r="I476" s="53">
        <f>IF(A476&gt;'Immobilien-Kalkulation'!$B$70*12,0,MAX(0,D476-G476-J476))</f>
        <v>0</v>
      </c>
      <c r="J476" s="53">
        <f>IF(OR(A476&gt;'Immobilien-Kalkulation'!$B$70*12,D476&lt;=0),0,MIN(H476,MAX(0,D476-G476)))</f>
        <v>0</v>
      </c>
    </row>
    <row r="477" spans="1:10" x14ac:dyDescent="0.25">
      <c r="A477">
        <v>474</v>
      </c>
      <c r="B477">
        <f t="shared" si="7"/>
        <v>40</v>
      </c>
      <c r="C477" s="28">
        <f>IF(A477&gt;'Immobilien-Kalkulation'!$B$70*12,0,IF(AND('Immobilien-Kalkulation'!$B$72=1,B477&gt;'Immobilien-Kalkulation'!$B$69),'Immobilien-Kalkulation'!$B$73,'Immobilien-Kalkulation'!$B$65))</f>
        <v>0</v>
      </c>
      <c r="D477" s="53">
        <f>IF(A477&gt;'Immobilien-Kalkulation'!$B$70*12,0,I476)</f>
        <v>0</v>
      </c>
      <c r="E477" s="53">
        <f>IF(OR(A477&gt;'Immobilien-Kalkulation'!$B$70*12,D477&lt;=0),0,IF(AND('Immobilien-Kalkulation'!$B$72=1,B477&gt;'Immobilien-Kalkulation'!$B$69),MIN(D477*C477/12+'Immobilien-Kalkulation'!$B$74/12,D477*(1+C477/12)),MIN('Immobilien-Kalkulation'!$B$67,D477*(1+C477/12))))</f>
        <v>0</v>
      </c>
      <c r="F477" s="53">
        <f>IF(OR(A477&gt;'Immobilien-Kalkulation'!$B$70*12,D477&lt;=0),0,D477*C477/12)</f>
        <v>0</v>
      </c>
      <c r="G477" s="53">
        <f>IF(OR(A477&gt;'Immobilien-Kalkulation'!$B$70*12,D477&lt;=0),0,MAX(0,MIN(D477,E477-F477)))</f>
        <v>0</v>
      </c>
      <c r="H477" s="95">
        <v>0</v>
      </c>
      <c r="I477" s="53">
        <f>IF(A477&gt;'Immobilien-Kalkulation'!$B$70*12,0,MAX(0,D477-G477-J477))</f>
        <v>0</v>
      </c>
      <c r="J477" s="53">
        <f>IF(OR(A477&gt;'Immobilien-Kalkulation'!$B$70*12,D477&lt;=0),0,MIN(H477,MAX(0,D477-G477)))</f>
        <v>0</v>
      </c>
    </row>
    <row r="478" spans="1:10" x14ac:dyDescent="0.25">
      <c r="A478">
        <v>475</v>
      </c>
      <c r="B478">
        <f t="shared" si="7"/>
        <v>40</v>
      </c>
      <c r="C478" s="28">
        <f>IF(A478&gt;'Immobilien-Kalkulation'!$B$70*12,0,IF(AND('Immobilien-Kalkulation'!$B$72=1,B478&gt;'Immobilien-Kalkulation'!$B$69),'Immobilien-Kalkulation'!$B$73,'Immobilien-Kalkulation'!$B$65))</f>
        <v>0</v>
      </c>
      <c r="D478" s="53">
        <f>IF(A478&gt;'Immobilien-Kalkulation'!$B$70*12,0,I477)</f>
        <v>0</v>
      </c>
      <c r="E478" s="53">
        <f>IF(OR(A478&gt;'Immobilien-Kalkulation'!$B$70*12,D478&lt;=0),0,IF(AND('Immobilien-Kalkulation'!$B$72=1,B478&gt;'Immobilien-Kalkulation'!$B$69),MIN(D478*C478/12+'Immobilien-Kalkulation'!$B$74/12,D478*(1+C478/12)),MIN('Immobilien-Kalkulation'!$B$67,D478*(1+C478/12))))</f>
        <v>0</v>
      </c>
      <c r="F478" s="53">
        <f>IF(OR(A478&gt;'Immobilien-Kalkulation'!$B$70*12,D478&lt;=0),0,D478*C478/12)</f>
        <v>0</v>
      </c>
      <c r="G478" s="53">
        <f>IF(OR(A478&gt;'Immobilien-Kalkulation'!$B$70*12,D478&lt;=0),0,MAX(0,MIN(D478,E478-F478)))</f>
        <v>0</v>
      </c>
      <c r="H478" s="95">
        <v>0</v>
      </c>
      <c r="I478" s="53">
        <f>IF(A478&gt;'Immobilien-Kalkulation'!$B$70*12,0,MAX(0,D478-G478-J478))</f>
        <v>0</v>
      </c>
      <c r="J478" s="53">
        <f>IF(OR(A478&gt;'Immobilien-Kalkulation'!$B$70*12,D478&lt;=0),0,MIN(H478,MAX(0,D478-G478)))</f>
        <v>0</v>
      </c>
    </row>
    <row r="479" spans="1:10" x14ac:dyDescent="0.25">
      <c r="A479">
        <v>476</v>
      </c>
      <c r="B479">
        <f t="shared" si="7"/>
        <v>40</v>
      </c>
      <c r="C479" s="28">
        <f>IF(A479&gt;'Immobilien-Kalkulation'!$B$70*12,0,IF(AND('Immobilien-Kalkulation'!$B$72=1,B479&gt;'Immobilien-Kalkulation'!$B$69),'Immobilien-Kalkulation'!$B$73,'Immobilien-Kalkulation'!$B$65))</f>
        <v>0</v>
      </c>
      <c r="D479" s="53">
        <f>IF(A479&gt;'Immobilien-Kalkulation'!$B$70*12,0,I478)</f>
        <v>0</v>
      </c>
      <c r="E479" s="53">
        <f>IF(OR(A479&gt;'Immobilien-Kalkulation'!$B$70*12,D479&lt;=0),0,IF(AND('Immobilien-Kalkulation'!$B$72=1,B479&gt;'Immobilien-Kalkulation'!$B$69),MIN(D479*C479/12+'Immobilien-Kalkulation'!$B$74/12,D479*(1+C479/12)),MIN('Immobilien-Kalkulation'!$B$67,D479*(1+C479/12))))</f>
        <v>0</v>
      </c>
      <c r="F479" s="53">
        <f>IF(OR(A479&gt;'Immobilien-Kalkulation'!$B$70*12,D479&lt;=0),0,D479*C479/12)</f>
        <v>0</v>
      </c>
      <c r="G479" s="53">
        <f>IF(OR(A479&gt;'Immobilien-Kalkulation'!$B$70*12,D479&lt;=0),0,MAX(0,MIN(D479,E479-F479)))</f>
        <v>0</v>
      </c>
      <c r="H479" s="95">
        <v>0</v>
      </c>
      <c r="I479" s="53">
        <f>IF(A479&gt;'Immobilien-Kalkulation'!$B$70*12,0,MAX(0,D479-G479-J479))</f>
        <v>0</v>
      </c>
      <c r="J479" s="53">
        <f>IF(OR(A479&gt;'Immobilien-Kalkulation'!$B$70*12,D479&lt;=0),0,MIN(H479,MAX(0,D479-G479)))</f>
        <v>0</v>
      </c>
    </row>
    <row r="480" spans="1:10" x14ac:dyDescent="0.25">
      <c r="A480">
        <v>477</v>
      </c>
      <c r="B480">
        <f t="shared" si="7"/>
        <v>40</v>
      </c>
      <c r="C480" s="28">
        <f>IF(A480&gt;'Immobilien-Kalkulation'!$B$70*12,0,IF(AND('Immobilien-Kalkulation'!$B$72=1,B480&gt;'Immobilien-Kalkulation'!$B$69),'Immobilien-Kalkulation'!$B$73,'Immobilien-Kalkulation'!$B$65))</f>
        <v>0</v>
      </c>
      <c r="D480" s="53">
        <f>IF(A480&gt;'Immobilien-Kalkulation'!$B$70*12,0,I479)</f>
        <v>0</v>
      </c>
      <c r="E480" s="53">
        <f>IF(OR(A480&gt;'Immobilien-Kalkulation'!$B$70*12,D480&lt;=0),0,IF(AND('Immobilien-Kalkulation'!$B$72=1,B480&gt;'Immobilien-Kalkulation'!$B$69),MIN(D480*C480/12+'Immobilien-Kalkulation'!$B$74/12,D480*(1+C480/12)),MIN('Immobilien-Kalkulation'!$B$67,D480*(1+C480/12))))</f>
        <v>0</v>
      </c>
      <c r="F480" s="53">
        <f>IF(OR(A480&gt;'Immobilien-Kalkulation'!$B$70*12,D480&lt;=0),0,D480*C480/12)</f>
        <v>0</v>
      </c>
      <c r="G480" s="53">
        <f>IF(OR(A480&gt;'Immobilien-Kalkulation'!$B$70*12,D480&lt;=0),0,MAX(0,MIN(D480,E480-F480)))</f>
        <v>0</v>
      </c>
      <c r="H480" s="95">
        <v>0</v>
      </c>
      <c r="I480" s="53">
        <f>IF(A480&gt;'Immobilien-Kalkulation'!$B$70*12,0,MAX(0,D480-G480-J480))</f>
        <v>0</v>
      </c>
      <c r="J480" s="53">
        <f>IF(OR(A480&gt;'Immobilien-Kalkulation'!$B$70*12,D480&lt;=0),0,MIN(H480,MAX(0,D480-G480)))</f>
        <v>0</v>
      </c>
    </row>
    <row r="481" spans="1:10" x14ac:dyDescent="0.25">
      <c r="A481">
        <v>478</v>
      </c>
      <c r="B481">
        <f t="shared" si="7"/>
        <v>40</v>
      </c>
      <c r="C481" s="28">
        <f>IF(A481&gt;'Immobilien-Kalkulation'!$B$70*12,0,IF(AND('Immobilien-Kalkulation'!$B$72=1,B481&gt;'Immobilien-Kalkulation'!$B$69),'Immobilien-Kalkulation'!$B$73,'Immobilien-Kalkulation'!$B$65))</f>
        <v>0</v>
      </c>
      <c r="D481" s="53">
        <f>IF(A481&gt;'Immobilien-Kalkulation'!$B$70*12,0,I480)</f>
        <v>0</v>
      </c>
      <c r="E481" s="53">
        <f>IF(OR(A481&gt;'Immobilien-Kalkulation'!$B$70*12,D481&lt;=0),0,IF(AND('Immobilien-Kalkulation'!$B$72=1,B481&gt;'Immobilien-Kalkulation'!$B$69),MIN(D481*C481/12+'Immobilien-Kalkulation'!$B$74/12,D481*(1+C481/12)),MIN('Immobilien-Kalkulation'!$B$67,D481*(1+C481/12))))</f>
        <v>0</v>
      </c>
      <c r="F481" s="53">
        <f>IF(OR(A481&gt;'Immobilien-Kalkulation'!$B$70*12,D481&lt;=0),0,D481*C481/12)</f>
        <v>0</v>
      </c>
      <c r="G481" s="53">
        <f>IF(OR(A481&gt;'Immobilien-Kalkulation'!$B$70*12,D481&lt;=0),0,MAX(0,MIN(D481,E481-F481)))</f>
        <v>0</v>
      </c>
      <c r="H481" s="95">
        <v>0</v>
      </c>
      <c r="I481" s="53">
        <f>IF(A481&gt;'Immobilien-Kalkulation'!$B$70*12,0,MAX(0,D481-G481-J481))</f>
        <v>0</v>
      </c>
      <c r="J481" s="53">
        <f>IF(OR(A481&gt;'Immobilien-Kalkulation'!$B$70*12,D481&lt;=0),0,MIN(H481,MAX(0,D481-G481)))</f>
        <v>0</v>
      </c>
    </row>
    <row r="482" spans="1:10" x14ac:dyDescent="0.25">
      <c r="A482">
        <v>479</v>
      </c>
      <c r="B482">
        <f t="shared" si="7"/>
        <v>40</v>
      </c>
      <c r="C482" s="28">
        <f>IF(A482&gt;'Immobilien-Kalkulation'!$B$70*12,0,IF(AND('Immobilien-Kalkulation'!$B$72=1,B482&gt;'Immobilien-Kalkulation'!$B$69),'Immobilien-Kalkulation'!$B$73,'Immobilien-Kalkulation'!$B$65))</f>
        <v>0</v>
      </c>
      <c r="D482" s="53">
        <f>IF(A482&gt;'Immobilien-Kalkulation'!$B$70*12,0,I481)</f>
        <v>0</v>
      </c>
      <c r="E482" s="53">
        <f>IF(OR(A482&gt;'Immobilien-Kalkulation'!$B$70*12,D482&lt;=0),0,IF(AND('Immobilien-Kalkulation'!$B$72=1,B482&gt;'Immobilien-Kalkulation'!$B$69),MIN(D482*C482/12+'Immobilien-Kalkulation'!$B$74/12,D482*(1+C482/12)),MIN('Immobilien-Kalkulation'!$B$67,D482*(1+C482/12))))</f>
        <v>0</v>
      </c>
      <c r="F482" s="53">
        <f>IF(OR(A482&gt;'Immobilien-Kalkulation'!$B$70*12,D482&lt;=0),0,D482*C482/12)</f>
        <v>0</v>
      </c>
      <c r="G482" s="53">
        <f>IF(OR(A482&gt;'Immobilien-Kalkulation'!$B$70*12,D482&lt;=0),0,MAX(0,MIN(D482,E482-F482)))</f>
        <v>0</v>
      </c>
      <c r="H482" s="95">
        <v>0</v>
      </c>
      <c r="I482" s="53">
        <f>IF(A482&gt;'Immobilien-Kalkulation'!$B$70*12,0,MAX(0,D482-G482-J482))</f>
        <v>0</v>
      </c>
      <c r="J482" s="53">
        <f>IF(OR(A482&gt;'Immobilien-Kalkulation'!$B$70*12,D482&lt;=0),0,MIN(H482,MAX(0,D482-G482)))</f>
        <v>0</v>
      </c>
    </row>
    <row r="483" spans="1:10" x14ac:dyDescent="0.25">
      <c r="A483">
        <v>480</v>
      </c>
      <c r="B483">
        <f t="shared" si="7"/>
        <v>40</v>
      </c>
      <c r="C483" s="28">
        <f>IF(A483&gt;'Immobilien-Kalkulation'!$B$70*12,0,IF(AND('Immobilien-Kalkulation'!$B$72=1,B483&gt;'Immobilien-Kalkulation'!$B$69),'Immobilien-Kalkulation'!$B$73,'Immobilien-Kalkulation'!$B$65))</f>
        <v>0</v>
      </c>
      <c r="D483" s="53">
        <f>IF(A483&gt;'Immobilien-Kalkulation'!$B$70*12,0,I482)</f>
        <v>0</v>
      </c>
      <c r="E483" s="53">
        <f>IF(OR(A483&gt;'Immobilien-Kalkulation'!$B$70*12,D483&lt;=0),0,IF(AND('Immobilien-Kalkulation'!$B$72=1,B483&gt;'Immobilien-Kalkulation'!$B$69),MIN(D483*C483/12+'Immobilien-Kalkulation'!$B$74/12,D483*(1+C483/12)),MIN('Immobilien-Kalkulation'!$B$67,D483*(1+C483/12))))</f>
        <v>0</v>
      </c>
      <c r="F483" s="53">
        <f>IF(OR(A483&gt;'Immobilien-Kalkulation'!$B$70*12,D483&lt;=0),0,D483*C483/12)</f>
        <v>0</v>
      </c>
      <c r="G483" s="53">
        <f>IF(OR(A483&gt;'Immobilien-Kalkulation'!$B$70*12,D483&lt;=0),0,MAX(0,MIN(D483,E483-F483)))</f>
        <v>0</v>
      </c>
      <c r="H483" s="95">
        <v>0</v>
      </c>
      <c r="I483" s="53">
        <f>IF(A483&gt;'Immobilien-Kalkulation'!$B$70*12,0,MAX(0,D483-G483-J483))</f>
        <v>0</v>
      </c>
      <c r="J483" s="53">
        <f>IF(OR(A483&gt;'Immobilien-Kalkulation'!$B$70*12,D483&lt;=0),0,MIN(H483,MAX(0,D483-G483)))</f>
        <v>0</v>
      </c>
    </row>
    <row r="484" spans="1:10" x14ac:dyDescent="0.25">
      <c r="A484">
        <v>481</v>
      </c>
      <c r="B484">
        <f t="shared" si="7"/>
        <v>41</v>
      </c>
      <c r="C484" s="28">
        <f>IF(A484&gt;'Immobilien-Kalkulation'!$B$70*12,0,IF(AND('Immobilien-Kalkulation'!$B$72=1,B484&gt;'Immobilien-Kalkulation'!$B$69),'Immobilien-Kalkulation'!$B$73,'Immobilien-Kalkulation'!$B$65))</f>
        <v>0</v>
      </c>
      <c r="D484" s="53">
        <f>IF(A484&gt;'Immobilien-Kalkulation'!$B$70*12,0,I483)</f>
        <v>0</v>
      </c>
      <c r="E484" s="53">
        <f>IF(OR(A484&gt;'Immobilien-Kalkulation'!$B$70*12,D484&lt;=0),0,IF(AND('Immobilien-Kalkulation'!$B$72=1,B484&gt;'Immobilien-Kalkulation'!$B$69),MIN(D484*C484/12+'Immobilien-Kalkulation'!$B$74/12,D484*(1+C484/12)),MIN('Immobilien-Kalkulation'!$B$67,D484*(1+C484/12))))</f>
        <v>0</v>
      </c>
      <c r="F484" s="53">
        <f>IF(OR(A484&gt;'Immobilien-Kalkulation'!$B$70*12,D484&lt;=0),0,D484*C484/12)</f>
        <v>0</v>
      </c>
      <c r="G484" s="53">
        <f>IF(OR(A484&gt;'Immobilien-Kalkulation'!$B$70*12,D484&lt;=0),0,MAX(0,MIN(D484,E484-F484)))</f>
        <v>0</v>
      </c>
      <c r="H484" s="95">
        <v>0</v>
      </c>
      <c r="I484" s="53">
        <f>IF(A484&gt;'Immobilien-Kalkulation'!$B$70*12,0,MAX(0,D484-G484-J484))</f>
        <v>0</v>
      </c>
      <c r="J484" s="53">
        <f>IF(OR(A484&gt;'Immobilien-Kalkulation'!$B$70*12,D484&lt;=0),0,MIN(H484,MAX(0,D484-G484)))</f>
        <v>0</v>
      </c>
    </row>
    <row r="485" spans="1:10" x14ac:dyDescent="0.25">
      <c r="A485">
        <v>482</v>
      </c>
      <c r="B485">
        <f t="shared" si="7"/>
        <v>41</v>
      </c>
      <c r="C485" s="28">
        <f>IF(A485&gt;'Immobilien-Kalkulation'!$B$70*12,0,IF(AND('Immobilien-Kalkulation'!$B$72=1,B485&gt;'Immobilien-Kalkulation'!$B$69),'Immobilien-Kalkulation'!$B$73,'Immobilien-Kalkulation'!$B$65))</f>
        <v>0</v>
      </c>
      <c r="D485" s="53">
        <f>IF(A485&gt;'Immobilien-Kalkulation'!$B$70*12,0,I484)</f>
        <v>0</v>
      </c>
      <c r="E485" s="53">
        <f>IF(OR(A485&gt;'Immobilien-Kalkulation'!$B$70*12,D485&lt;=0),0,IF(AND('Immobilien-Kalkulation'!$B$72=1,B485&gt;'Immobilien-Kalkulation'!$B$69),MIN(D485*C485/12+'Immobilien-Kalkulation'!$B$74/12,D485*(1+C485/12)),MIN('Immobilien-Kalkulation'!$B$67,D485*(1+C485/12))))</f>
        <v>0</v>
      </c>
      <c r="F485" s="53">
        <f>IF(OR(A485&gt;'Immobilien-Kalkulation'!$B$70*12,D485&lt;=0),0,D485*C485/12)</f>
        <v>0</v>
      </c>
      <c r="G485" s="53">
        <f>IF(OR(A485&gt;'Immobilien-Kalkulation'!$B$70*12,D485&lt;=0),0,MAX(0,MIN(D485,E485-F485)))</f>
        <v>0</v>
      </c>
      <c r="H485" s="95">
        <v>0</v>
      </c>
      <c r="I485" s="53">
        <f>IF(A485&gt;'Immobilien-Kalkulation'!$B$70*12,0,MAX(0,D485-G485-J485))</f>
        <v>0</v>
      </c>
      <c r="J485" s="53">
        <f>IF(OR(A485&gt;'Immobilien-Kalkulation'!$B$70*12,D485&lt;=0),0,MIN(H485,MAX(0,D485-G485)))</f>
        <v>0</v>
      </c>
    </row>
    <row r="486" spans="1:10" x14ac:dyDescent="0.25">
      <c r="A486">
        <v>483</v>
      </c>
      <c r="B486">
        <f t="shared" si="7"/>
        <v>41</v>
      </c>
      <c r="C486" s="28">
        <f>IF(A486&gt;'Immobilien-Kalkulation'!$B$70*12,0,IF(AND('Immobilien-Kalkulation'!$B$72=1,B486&gt;'Immobilien-Kalkulation'!$B$69),'Immobilien-Kalkulation'!$B$73,'Immobilien-Kalkulation'!$B$65))</f>
        <v>0</v>
      </c>
      <c r="D486" s="53">
        <f>IF(A486&gt;'Immobilien-Kalkulation'!$B$70*12,0,I485)</f>
        <v>0</v>
      </c>
      <c r="E486" s="53">
        <f>IF(OR(A486&gt;'Immobilien-Kalkulation'!$B$70*12,D486&lt;=0),0,IF(AND('Immobilien-Kalkulation'!$B$72=1,B486&gt;'Immobilien-Kalkulation'!$B$69),MIN(D486*C486/12+'Immobilien-Kalkulation'!$B$74/12,D486*(1+C486/12)),MIN('Immobilien-Kalkulation'!$B$67,D486*(1+C486/12))))</f>
        <v>0</v>
      </c>
      <c r="F486" s="53">
        <f>IF(OR(A486&gt;'Immobilien-Kalkulation'!$B$70*12,D486&lt;=0),0,D486*C486/12)</f>
        <v>0</v>
      </c>
      <c r="G486" s="53">
        <f>IF(OR(A486&gt;'Immobilien-Kalkulation'!$B$70*12,D486&lt;=0),0,MAX(0,MIN(D486,E486-F486)))</f>
        <v>0</v>
      </c>
      <c r="H486" s="95">
        <v>0</v>
      </c>
      <c r="I486" s="53">
        <f>IF(A486&gt;'Immobilien-Kalkulation'!$B$70*12,0,MAX(0,D486-G486-J486))</f>
        <v>0</v>
      </c>
      <c r="J486" s="53">
        <f>IF(OR(A486&gt;'Immobilien-Kalkulation'!$B$70*12,D486&lt;=0),0,MIN(H486,MAX(0,D486-G486)))</f>
        <v>0</v>
      </c>
    </row>
    <row r="487" spans="1:10" x14ac:dyDescent="0.25">
      <c r="A487">
        <v>484</v>
      </c>
      <c r="B487">
        <f t="shared" si="7"/>
        <v>41</v>
      </c>
      <c r="C487" s="28">
        <f>IF(A487&gt;'Immobilien-Kalkulation'!$B$70*12,0,IF(AND('Immobilien-Kalkulation'!$B$72=1,B487&gt;'Immobilien-Kalkulation'!$B$69),'Immobilien-Kalkulation'!$B$73,'Immobilien-Kalkulation'!$B$65))</f>
        <v>0</v>
      </c>
      <c r="D487" s="53">
        <f>IF(A487&gt;'Immobilien-Kalkulation'!$B$70*12,0,I486)</f>
        <v>0</v>
      </c>
      <c r="E487" s="53">
        <f>IF(OR(A487&gt;'Immobilien-Kalkulation'!$B$70*12,D487&lt;=0),0,IF(AND('Immobilien-Kalkulation'!$B$72=1,B487&gt;'Immobilien-Kalkulation'!$B$69),MIN(D487*C487/12+'Immobilien-Kalkulation'!$B$74/12,D487*(1+C487/12)),MIN('Immobilien-Kalkulation'!$B$67,D487*(1+C487/12))))</f>
        <v>0</v>
      </c>
      <c r="F487" s="53">
        <f>IF(OR(A487&gt;'Immobilien-Kalkulation'!$B$70*12,D487&lt;=0),0,D487*C487/12)</f>
        <v>0</v>
      </c>
      <c r="G487" s="53">
        <f>IF(OR(A487&gt;'Immobilien-Kalkulation'!$B$70*12,D487&lt;=0),0,MAX(0,MIN(D487,E487-F487)))</f>
        <v>0</v>
      </c>
      <c r="H487" s="95">
        <v>0</v>
      </c>
      <c r="I487" s="53">
        <f>IF(A487&gt;'Immobilien-Kalkulation'!$B$70*12,0,MAX(0,D487-G487-J487))</f>
        <v>0</v>
      </c>
      <c r="J487" s="53">
        <f>IF(OR(A487&gt;'Immobilien-Kalkulation'!$B$70*12,D487&lt;=0),0,MIN(H487,MAX(0,D487-G487)))</f>
        <v>0</v>
      </c>
    </row>
    <row r="488" spans="1:10" x14ac:dyDescent="0.25">
      <c r="A488">
        <v>485</v>
      </c>
      <c r="B488">
        <f t="shared" si="7"/>
        <v>41</v>
      </c>
      <c r="C488" s="28">
        <f>IF(A488&gt;'Immobilien-Kalkulation'!$B$70*12,0,IF(AND('Immobilien-Kalkulation'!$B$72=1,B488&gt;'Immobilien-Kalkulation'!$B$69),'Immobilien-Kalkulation'!$B$73,'Immobilien-Kalkulation'!$B$65))</f>
        <v>0</v>
      </c>
      <c r="D488" s="53">
        <f>IF(A488&gt;'Immobilien-Kalkulation'!$B$70*12,0,I487)</f>
        <v>0</v>
      </c>
      <c r="E488" s="53">
        <f>IF(OR(A488&gt;'Immobilien-Kalkulation'!$B$70*12,D488&lt;=0),0,IF(AND('Immobilien-Kalkulation'!$B$72=1,B488&gt;'Immobilien-Kalkulation'!$B$69),MIN(D488*C488/12+'Immobilien-Kalkulation'!$B$74/12,D488*(1+C488/12)),MIN('Immobilien-Kalkulation'!$B$67,D488*(1+C488/12))))</f>
        <v>0</v>
      </c>
      <c r="F488" s="53">
        <f>IF(OR(A488&gt;'Immobilien-Kalkulation'!$B$70*12,D488&lt;=0),0,D488*C488/12)</f>
        <v>0</v>
      </c>
      <c r="G488" s="53">
        <f>IF(OR(A488&gt;'Immobilien-Kalkulation'!$B$70*12,D488&lt;=0),0,MAX(0,MIN(D488,E488-F488)))</f>
        <v>0</v>
      </c>
      <c r="H488" s="95">
        <v>0</v>
      </c>
      <c r="I488" s="53">
        <f>IF(A488&gt;'Immobilien-Kalkulation'!$B$70*12,0,MAX(0,D488-G488-J488))</f>
        <v>0</v>
      </c>
      <c r="J488" s="53">
        <f>IF(OR(A488&gt;'Immobilien-Kalkulation'!$B$70*12,D488&lt;=0),0,MIN(H488,MAX(0,D488-G488)))</f>
        <v>0</v>
      </c>
    </row>
    <row r="489" spans="1:10" x14ac:dyDescent="0.25">
      <c r="A489">
        <v>486</v>
      </c>
      <c r="B489">
        <f t="shared" si="7"/>
        <v>41</v>
      </c>
      <c r="C489" s="28">
        <f>IF(A489&gt;'Immobilien-Kalkulation'!$B$70*12,0,IF(AND('Immobilien-Kalkulation'!$B$72=1,B489&gt;'Immobilien-Kalkulation'!$B$69),'Immobilien-Kalkulation'!$B$73,'Immobilien-Kalkulation'!$B$65))</f>
        <v>0</v>
      </c>
      <c r="D489" s="53">
        <f>IF(A489&gt;'Immobilien-Kalkulation'!$B$70*12,0,I488)</f>
        <v>0</v>
      </c>
      <c r="E489" s="53">
        <f>IF(OR(A489&gt;'Immobilien-Kalkulation'!$B$70*12,D489&lt;=0),0,IF(AND('Immobilien-Kalkulation'!$B$72=1,B489&gt;'Immobilien-Kalkulation'!$B$69),MIN(D489*C489/12+'Immobilien-Kalkulation'!$B$74/12,D489*(1+C489/12)),MIN('Immobilien-Kalkulation'!$B$67,D489*(1+C489/12))))</f>
        <v>0</v>
      </c>
      <c r="F489" s="53">
        <f>IF(OR(A489&gt;'Immobilien-Kalkulation'!$B$70*12,D489&lt;=0),0,D489*C489/12)</f>
        <v>0</v>
      </c>
      <c r="G489" s="53">
        <f>IF(OR(A489&gt;'Immobilien-Kalkulation'!$B$70*12,D489&lt;=0),0,MAX(0,MIN(D489,E489-F489)))</f>
        <v>0</v>
      </c>
      <c r="H489" s="95">
        <v>0</v>
      </c>
      <c r="I489" s="53">
        <f>IF(A489&gt;'Immobilien-Kalkulation'!$B$70*12,0,MAX(0,D489-G489-J489))</f>
        <v>0</v>
      </c>
      <c r="J489" s="53">
        <f>IF(OR(A489&gt;'Immobilien-Kalkulation'!$B$70*12,D489&lt;=0),0,MIN(H489,MAX(0,D489-G489)))</f>
        <v>0</v>
      </c>
    </row>
    <row r="490" spans="1:10" x14ac:dyDescent="0.25">
      <c r="A490">
        <v>487</v>
      </c>
      <c r="B490">
        <f t="shared" si="7"/>
        <v>41</v>
      </c>
      <c r="C490" s="28">
        <f>IF(A490&gt;'Immobilien-Kalkulation'!$B$70*12,0,IF(AND('Immobilien-Kalkulation'!$B$72=1,B490&gt;'Immobilien-Kalkulation'!$B$69),'Immobilien-Kalkulation'!$B$73,'Immobilien-Kalkulation'!$B$65))</f>
        <v>0</v>
      </c>
      <c r="D490" s="53">
        <f>IF(A490&gt;'Immobilien-Kalkulation'!$B$70*12,0,I489)</f>
        <v>0</v>
      </c>
      <c r="E490" s="53">
        <f>IF(OR(A490&gt;'Immobilien-Kalkulation'!$B$70*12,D490&lt;=0),0,IF(AND('Immobilien-Kalkulation'!$B$72=1,B490&gt;'Immobilien-Kalkulation'!$B$69),MIN(D490*C490/12+'Immobilien-Kalkulation'!$B$74/12,D490*(1+C490/12)),MIN('Immobilien-Kalkulation'!$B$67,D490*(1+C490/12))))</f>
        <v>0</v>
      </c>
      <c r="F490" s="53">
        <f>IF(OR(A490&gt;'Immobilien-Kalkulation'!$B$70*12,D490&lt;=0),0,D490*C490/12)</f>
        <v>0</v>
      </c>
      <c r="G490" s="53">
        <f>IF(OR(A490&gt;'Immobilien-Kalkulation'!$B$70*12,D490&lt;=0),0,MAX(0,MIN(D490,E490-F490)))</f>
        <v>0</v>
      </c>
      <c r="H490" s="95">
        <v>0</v>
      </c>
      <c r="I490" s="53">
        <f>IF(A490&gt;'Immobilien-Kalkulation'!$B$70*12,0,MAX(0,D490-G490-J490))</f>
        <v>0</v>
      </c>
      <c r="J490" s="53">
        <f>IF(OR(A490&gt;'Immobilien-Kalkulation'!$B$70*12,D490&lt;=0),0,MIN(H490,MAX(0,D490-G490)))</f>
        <v>0</v>
      </c>
    </row>
    <row r="491" spans="1:10" x14ac:dyDescent="0.25">
      <c r="A491">
        <v>488</v>
      </c>
      <c r="B491">
        <f t="shared" si="7"/>
        <v>41</v>
      </c>
      <c r="C491" s="28">
        <f>IF(A491&gt;'Immobilien-Kalkulation'!$B$70*12,0,IF(AND('Immobilien-Kalkulation'!$B$72=1,B491&gt;'Immobilien-Kalkulation'!$B$69),'Immobilien-Kalkulation'!$B$73,'Immobilien-Kalkulation'!$B$65))</f>
        <v>0</v>
      </c>
      <c r="D491" s="53">
        <f>IF(A491&gt;'Immobilien-Kalkulation'!$B$70*12,0,I490)</f>
        <v>0</v>
      </c>
      <c r="E491" s="53">
        <f>IF(OR(A491&gt;'Immobilien-Kalkulation'!$B$70*12,D491&lt;=0),0,IF(AND('Immobilien-Kalkulation'!$B$72=1,B491&gt;'Immobilien-Kalkulation'!$B$69),MIN(D491*C491/12+'Immobilien-Kalkulation'!$B$74/12,D491*(1+C491/12)),MIN('Immobilien-Kalkulation'!$B$67,D491*(1+C491/12))))</f>
        <v>0</v>
      </c>
      <c r="F491" s="53">
        <f>IF(OR(A491&gt;'Immobilien-Kalkulation'!$B$70*12,D491&lt;=0),0,D491*C491/12)</f>
        <v>0</v>
      </c>
      <c r="G491" s="53">
        <f>IF(OR(A491&gt;'Immobilien-Kalkulation'!$B$70*12,D491&lt;=0),0,MAX(0,MIN(D491,E491-F491)))</f>
        <v>0</v>
      </c>
      <c r="H491" s="95">
        <v>0</v>
      </c>
      <c r="I491" s="53">
        <f>IF(A491&gt;'Immobilien-Kalkulation'!$B$70*12,0,MAX(0,D491-G491-J491))</f>
        <v>0</v>
      </c>
      <c r="J491" s="53">
        <f>IF(OR(A491&gt;'Immobilien-Kalkulation'!$B$70*12,D491&lt;=0),0,MIN(H491,MAX(0,D491-G491)))</f>
        <v>0</v>
      </c>
    </row>
    <row r="492" spans="1:10" x14ac:dyDescent="0.25">
      <c r="A492">
        <v>489</v>
      </c>
      <c r="B492">
        <f t="shared" si="7"/>
        <v>41</v>
      </c>
      <c r="C492" s="28">
        <f>IF(A492&gt;'Immobilien-Kalkulation'!$B$70*12,0,IF(AND('Immobilien-Kalkulation'!$B$72=1,B492&gt;'Immobilien-Kalkulation'!$B$69),'Immobilien-Kalkulation'!$B$73,'Immobilien-Kalkulation'!$B$65))</f>
        <v>0</v>
      </c>
      <c r="D492" s="53">
        <f>IF(A492&gt;'Immobilien-Kalkulation'!$B$70*12,0,I491)</f>
        <v>0</v>
      </c>
      <c r="E492" s="53">
        <f>IF(OR(A492&gt;'Immobilien-Kalkulation'!$B$70*12,D492&lt;=0),0,IF(AND('Immobilien-Kalkulation'!$B$72=1,B492&gt;'Immobilien-Kalkulation'!$B$69),MIN(D492*C492/12+'Immobilien-Kalkulation'!$B$74/12,D492*(1+C492/12)),MIN('Immobilien-Kalkulation'!$B$67,D492*(1+C492/12))))</f>
        <v>0</v>
      </c>
      <c r="F492" s="53">
        <f>IF(OR(A492&gt;'Immobilien-Kalkulation'!$B$70*12,D492&lt;=0),0,D492*C492/12)</f>
        <v>0</v>
      </c>
      <c r="G492" s="53">
        <f>IF(OR(A492&gt;'Immobilien-Kalkulation'!$B$70*12,D492&lt;=0),0,MAX(0,MIN(D492,E492-F492)))</f>
        <v>0</v>
      </c>
      <c r="H492" s="95">
        <v>0</v>
      </c>
      <c r="I492" s="53">
        <f>IF(A492&gt;'Immobilien-Kalkulation'!$B$70*12,0,MAX(0,D492-G492-J492))</f>
        <v>0</v>
      </c>
      <c r="J492" s="53">
        <f>IF(OR(A492&gt;'Immobilien-Kalkulation'!$B$70*12,D492&lt;=0),0,MIN(H492,MAX(0,D492-G492)))</f>
        <v>0</v>
      </c>
    </row>
    <row r="493" spans="1:10" x14ac:dyDescent="0.25">
      <c r="A493">
        <v>490</v>
      </c>
      <c r="B493">
        <f t="shared" si="7"/>
        <v>41</v>
      </c>
      <c r="C493" s="28">
        <f>IF(A493&gt;'Immobilien-Kalkulation'!$B$70*12,0,IF(AND('Immobilien-Kalkulation'!$B$72=1,B493&gt;'Immobilien-Kalkulation'!$B$69),'Immobilien-Kalkulation'!$B$73,'Immobilien-Kalkulation'!$B$65))</f>
        <v>0</v>
      </c>
      <c r="D493" s="53">
        <f>IF(A493&gt;'Immobilien-Kalkulation'!$B$70*12,0,I492)</f>
        <v>0</v>
      </c>
      <c r="E493" s="53">
        <f>IF(OR(A493&gt;'Immobilien-Kalkulation'!$B$70*12,D493&lt;=0),0,IF(AND('Immobilien-Kalkulation'!$B$72=1,B493&gt;'Immobilien-Kalkulation'!$B$69),MIN(D493*C493/12+'Immobilien-Kalkulation'!$B$74/12,D493*(1+C493/12)),MIN('Immobilien-Kalkulation'!$B$67,D493*(1+C493/12))))</f>
        <v>0</v>
      </c>
      <c r="F493" s="53">
        <f>IF(OR(A493&gt;'Immobilien-Kalkulation'!$B$70*12,D493&lt;=0),0,D493*C493/12)</f>
        <v>0</v>
      </c>
      <c r="G493" s="53">
        <f>IF(OR(A493&gt;'Immobilien-Kalkulation'!$B$70*12,D493&lt;=0),0,MAX(0,MIN(D493,E493-F493)))</f>
        <v>0</v>
      </c>
      <c r="H493" s="95">
        <v>0</v>
      </c>
      <c r="I493" s="53">
        <f>IF(A493&gt;'Immobilien-Kalkulation'!$B$70*12,0,MAX(0,D493-G493-J493))</f>
        <v>0</v>
      </c>
      <c r="J493" s="53">
        <f>IF(OR(A493&gt;'Immobilien-Kalkulation'!$B$70*12,D493&lt;=0),0,MIN(H493,MAX(0,D493-G493)))</f>
        <v>0</v>
      </c>
    </row>
    <row r="494" spans="1:10" x14ac:dyDescent="0.25">
      <c r="A494">
        <v>491</v>
      </c>
      <c r="B494">
        <f t="shared" si="7"/>
        <v>41</v>
      </c>
      <c r="C494" s="28">
        <f>IF(A494&gt;'Immobilien-Kalkulation'!$B$70*12,0,IF(AND('Immobilien-Kalkulation'!$B$72=1,B494&gt;'Immobilien-Kalkulation'!$B$69),'Immobilien-Kalkulation'!$B$73,'Immobilien-Kalkulation'!$B$65))</f>
        <v>0</v>
      </c>
      <c r="D494" s="53">
        <f>IF(A494&gt;'Immobilien-Kalkulation'!$B$70*12,0,I493)</f>
        <v>0</v>
      </c>
      <c r="E494" s="53">
        <f>IF(OR(A494&gt;'Immobilien-Kalkulation'!$B$70*12,D494&lt;=0),0,IF(AND('Immobilien-Kalkulation'!$B$72=1,B494&gt;'Immobilien-Kalkulation'!$B$69),MIN(D494*C494/12+'Immobilien-Kalkulation'!$B$74/12,D494*(1+C494/12)),MIN('Immobilien-Kalkulation'!$B$67,D494*(1+C494/12))))</f>
        <v>0</v>
      </c>
      <c r="F494" s="53">
        <f>IF(OR(A494&gt;'Immobilien-Kalkulation'!$B$70*12,D494&lt;=0),0,D494*C494/12)</f>
        <v>0</v>
      </c>
      <c r="G494" s="53">
        <f>IF(OR(A494&gt;'Immobilien-Kalkulation'!$B$70*12,D494&lt;=0),0,MAX(0,MIN(D494,E494-F494)))</f>
        <v>0</v>
      </c>
      <c r="H494" s="95">
        <v>0</v>
      </c>
      <c r="I494" s="53">
        <f>IF(A494&gt;'Immobilien-Kalkulation'!$B$70*12,0,MAX(0,D494-G494-J494))</f>
        <v>0</v>
      </c>
      <c r="J494" s="53">
        <f>IF(OR(A494&gt;'Immobilien-Kalkulation'!$B$70*12,D494&lt;=0),0,MIN(H494,MAX(0,D494-G494)))</f>
        <v>0</v>
      </c>
    </row>
    <row r="495" spans="1:10" x14ac:dyDescent="0.25">
      <c r="A495">
        <v>492</v>
      </c>
      <c r="B495">
        <f t="shared" si="7"/>
        <v>41</v>
      </c>
      <c r="C495" s="28">
        <f>IF(A495&gt;'Immobilien-Kalkulation'!$B$70*12,0,IF(AND('Immobilien-Kalkulation'!$B$72=1,B495&gt;'Immobilien-Kalkulation'!$B$69),'Immobilien-Kalkulation'!$B$73,'Immobilien-Kalkulation'!$B$65))</f>
        <v>0</v>
      </c>
      <c r="D495" s="53">
        <f>IF(A495&gt;'Immobilien-Kalkulation'!$B$70*12,0,I494)</f>
        <v>0</v>
      </c>
      <c r="E495" s="53">
        <f>IF(OR(A495&gt;'Immobilien-Kalkulation'!$B$70*12,D495&lt;=0),0,IF(AND('Immobilien-Kalkulation'!$B$72=1,B495&gt;'Immobilien-Kalkulation'!$B$69),MIN(D495*C495/12+'Immobilien-Kalkulation'!$B$74/12,D495*(1+C495/12)),MIN('Immobilien-Kalkulation'!$B$67,D495*(1+C495/12))))</f>
        <v>0</v>
      </c>
      <c r="F495" s="53">
        <f>IF(OR(A495&gt;'Immobilien-Kalkulation'!$B$70*12,D495&lt;=0),0,D495*C495/12)</f>
        <v>0</v>
      </c>
      <c r="G495" s="53">
        <f>IF(OR(A495&gt;'Immobilien-Kalkulation'!$B$70*12,D495&lt;=0),0,MAX(0,MIN(D495,E495-F495)))</f>
        <v>0</v>
      </c>
      <c r="H495" s="95">
        <v>0</v>
      </c>
      <c r="I495" s="53">
        <f>IF(A495&gt;'Immobilien-Kalkulation'!$B$70*12,0,MAX(0,D495-G495-J495))</f>
        <v>0</v>
      </c>
      <c r="J495" s="53">
        <f>IF(OR(A495&gt;'Immobilien-Kalkulation'!$B$70*12,D495&lt;=0),0,MIN(H495,MAX(0,D495-G495)))</f>
        <v>0</v>
      </c>
    </row>
    <row r="496" spans="1:10" x14ac:dyDescent="0.25">
      <c r="A496">
        <v>493</v>
      </c>
      <c r="B496">
        <f t="shared" si="7"/>
        <v>42</v>
      </c>
      <c r="C496" s="28">
        <f>IF(A496&gt;'Immobilien-Kalkulation'!$B$70*12,0,IF(AND('Immobilien-Kalkulation'!$B$72=1,B496&gt;'Immobilien-Kalkulation'!$B$69),'Immobilien-Kalkulation'!$B$73,'Immobilien-Kalkulation'!$B$65))</f>
        <v>0</v>
      </c>
      <c r="D496" s="53">
        <f>IF(A496&gt;'Immobilien-Kalkulation'!$B$70*12,0,I495)</f>
        <v>0</v>
      </c>
      <c r="E496" s="53">
        <f>IF(OR(A496&gt;'Immobilien-Kalkulation'!$B$70*12,D496&lt;=0),0,IF(AND('Immobilien-Kalkulation'!$B$72=1,B496&gt;'Immobilien-Kalkulation'!$B$69),MIN(D496*C496/12+'Immobilien-Kalkulation'!$B$74/12,D496*(1+C496/12)),MIN('Immobilien-Kalkulation'!$B$67,D496*(1+C496/12))))</f>
        <v>0</v>
      </c>
      <c r="F496" s="53">
        <f>IF(OR(A496&gt;'Immobilien-Kalkulation'!$B$70*12,D496&lt;=0),0,D496*C496/12)</f>
        <v>0</v>
      </c>
      <c r="G496" s="53">
        <f>IF(OR(A496&gt;'Immobilien-Kalkulation'!$B$70*12,D496&lt;=0),0,MAX(0,MIN(D496,E496-F496)))</f>
        <v>0</v>
      </c>
      <c r="H496" s="95">
        <v>0</v>
      </c>
      <c r="I496" s="53">
        <f>IF(A496&gt;'Immobilien-Kalkulation'!$B$70*12,0,MAX(0,D496-G496-J496))</f>
        <v>0</v>
      </c>
      <c r="J496" s="53">
        <f>IF(OR(A496&gt;'Immobilien-Kalkulation'!$B$70*12,D496&lt;=0),0,MIN(H496,MAX(0,D496-G496)))</f>
        <v>0</v>
      </c>
    </row>
    <row r="497" spans="1:10" x14ac:dyDescent="0.25">
      <c r="A497">
        <v>494</v>
      </c>
      <c r="B497">
        <f t="shared" si="7"/>
        <v>42</v>
      </c>
      <c r="C497" s="28">
        <f>IF(A497&gt;'Immobilien-Kalkulation'!$B$70*12,0,IF(AND('Immobilien-Kalkulation'!$B$72=1,B497&gt;'Immobilien-Kalkulation'!$B$69),'Immobilien-Kalkulation'!$B$73,'Immobilien-Kalkulation'!$B$65))</f>
        <v>0</v>
      </c>
      <c r="D497" s="53">
        <f>IF(A497&gt;'Immobilien-Kalkulation'!$B$70*12,0,I496)</f>
        <v>0</v>
      </c>
      <c r="E497" s="53">
        <f>IF(OR(A497&gt;'Immobilien-Kalkulation'!$B$70*12,D497&lt;=0),0,IF(AND('Immobilien-Kalkulation'!$B$72=1,B497&gt;'Immobilien-Kalkulation'!$B$69),MIN(D497*C497/12+'Immobilien-Kalkulation'!$B$74/12,D497*(1+C497/12)),MIN('Immobilien-Kalkulation'!$B$67,D497*(1+C497/12))))</f>
        <v>0</v>
      </c>
      <c r="F497" s="53">
        <f>IF(OR(A497&gt;'Immobilien-Kalkulation'!$B$70*12,D497&lt;=0),0,D497*C497/12)</f>
        <v>0</v>
      </c>
      <c r="G497" s="53">
        <f>IF(OR(A497&gt;'Immobilien-Kalkulation'!$B$70*12,D497&lt;=0),0,MAX(0,MIN(D497,E497-F497)))</f>
        <v>0</v>
      </c>
      <c r="H497" s="95">
        <v>0</v>
      </c>
      <c r="I497" s="53">
        <f>IF(A497&gt;'Immobilien-Kalkulation'!$B$70*12,0,MAX(0,D497-G497-J497))</f>
        <v>0</v>
      </c>
      <c r="J497" s="53">
        <f>IF(OR(A497&gt;'Immobilien-Kalkulation'!$B$70*12,D497&lt;=0),0,MIN(H497,MAX(0,D497-G497)))</f>
        <v>0</v>
      </c>
    </row>
    <row r="498" spans="1:10" x14ac:dyDescent="0.25">
      <c r="A498">
        <v>495</v>
      </c>
      <c r="B498">
        <f t="shared" si="7"/>
        <v>42</v>
      </c>
      <c r="C498" s="28">
        <f>IF(A498&gt;'Immobilien-Kalkulation'!$B$70*12,0,IF(AND('Immobilien-Kalkulation'!$B$72=1,B498&gt;'Immobilien-Kalkulation'!$B$69),'Immobilien-Kalkulation'!$B$73,'Immobilien-Kalkulation'!$B$65))</f>
        <v>0</v>
      </c>
      <c r="D498" s="53">
        <f>IF(A498&gt;'Immobilien-Kalkulation'!$B$70*12,0,I497)</f>
        <v>0</v>
      </c>
      <c r="E498" s="53">
        <f>IF(OR(A498&gt;'Immobilien-Kalkulation'!$B$70*12,D498&lt;=0),0,IF(AND('Immobilien-Kalkulation'!$B$72=1,B498&gt;'Immobilien-Kalkulation'!$B$69),MIN(D498*C498/12+'Immobilien-Kalkulation'!$B$74/12,D498*(1+C498/12)),MIN('Immobilien-Kalkulation'!$B$67,D498*(1+C498/12))))</f>
        <v>0</v>
      </c>
      <c r="F498" s="53">
        <f>IF(OR(A498&gt;'Immobilien-Kalkulation'!$B$70*12,D498&lt;=0),0,D498*C498/12)</f>
        <v>0</v>
      </c>
      <c r="G498" s="53">
        <f>IF(OR(A498&gt;'Immobilien-Kalkulation'!$B$70*12,D498&lt;=0),0,MAX(0,MIN(D498,E498-F498)))</f>
        <v>0</v>
      </c>
      <c r="H498" s="95">
        <v>0</v>
      </c>
      <c r="I498" s="53">
        <f>IF(A498&gt;'Immobilien-Kalkulation'!$B$70*12,0,MAX(0,D498-G498-J498))</f>
        <v>0</v>
      </c>
      <c r="J498" s="53">
        <f>IF(OR(A498&gt;'Immobilien-Kalkulation'!$B$70*12,D498&lt;=0),0,MIN(H498,MAX(0,D498-G498)))</f>
        <v>0</v>
      </c>
    </row>
    <row r="499" spans="1:10" x14ac:dyDescent="0.25">
      <c r="A499">
        <v>496</v>
      </c>
      <c r="B499">
        <f t="shared" si="7"/>
        <v>42</v>
      </c>
      <c r="C499" s="28">
        <f>IF(A499&gt;'Immobilien-Kalkulation'!$B$70*12,0,IF(AND('Immobilien-Kalkulation'!$B$72=1,B499&gt;'Immobilien-Kalkulation'!$B$69),'Immobilien-Kalkulation'!$B$73,'Immobilien-Kalkulation'!$B$65))</f>
        <v>0</v>
      </c>
      <c r="D499" s="53">
        <f>IF(A499&gt;'Immobilien-Kalkulation'!$B$70*12,0,I498)</f>
        <v>0</v>
      </c>
      <c r="E499" s="53">
        <f>IF(OR(A499&gt;'Immobilien-Kalkulation'!$B$70*12,D499&lt;=0),0,IF(AND('Immobilien-Kalkulation'!$B$72=1,B499&gt;'Immobilien-Kalkulation'!$B$69),MIN(D499*C499/12+'Immobilien-Kalkulation'!$B$74/12,D499*(1+C499/12)),MIN('Immobilien-Kalkulation'!$B$67,D499*(1+C499/12))))</f>
        <v>0</v>
      </c>
      <c r="F499" s="53">
        <f>IF(OR(A499&gt;'Immobilien-Kalkulation'!$B$70*12,D499&lt;=0),0,D499*C499/12)</f>
        <v>0</v>
      </c>
      <c r="G499" s="53">
        <f>IF(OR(A499&gt;'Immobilien-Kalkulation'!$B$70*12,D499&lt;=0),0,MAX(0,MIN(D499,E499-F499)))</f>
        <v>0</v>
      </c>
      <c r="H499" s="95">
        <v>0</v>
      </c>
      <c r="I499" s="53">
        <f>IF(A499&gt;'Immobilien-Kalkulation'!$B$70*12,0,MAX(0,D499-G499-J499))</f>
        <v>0</v>
      </c>
      <c r="J499" s="53">
        <f>IF(OR(A499&gt;'Immobilien-Kalkulation'!$B$70*12,D499&lt;=0),0,MIN(H499,MAX(0,D499-G499)))</f>
        <v>0</v>
      </c>
    </row>
    <row r="500" spans="1:10" x14ac:dyDescent="0.25">
      <c r="A500">
        <v>497</v>
      </c>
      <c r="B500">
        <f t="shared" si="7"/>
        <v>42</v>
      </c>
      <c r="C500" s="28">
        <f>IF(A500&gt;'Immobilien-Kalkulation'!$B$70*12,0,IF(AND('Immobilien-Kalkulation'!$B$72=1,B500&gt;'Immobilien-Kalkulation'!$B$69),'Immobilien-Kalkulation'!$B$73,'Immobilien-Kalkulation'!$B$65))</f>
        <v>0</v>
      </c>
      <c r="D500" s="53">
        <f>IF(A500&gt;'Immobilien-Kalkulation'!$B$70*12,0,I499)</f>
        <v>0</v>
      </c>
      <c r="E500" s="53">
        <f>IF(OR(A500&gt;'Immobilien-Kalkulation'!$B$70*12,D500&lt;=0),0,IF(AND('Immobilien-Kalkulation'!$B$72=1,B500&gt;'Immobilien-Kalkulation'!$B$69),MIN(D500*C500/12+'Immobilien-Kalkulation'!$B$74/12,D500*(1+C500/12)),MIN('Immobilien-Kalkulation'!$B$67,D500*(1+C500/12))))</f>
        <v>0</v>
      </c>
      <c r="F500" s="53">
        <f>IF(OR(A500&gt;'Immobilien-Kalkulation'!$B$70*12,D500&lt;=0),0,D500*C500/12)</f>
        <v>0</v>
      </c>
      <c r="G500" s="53">
        <f>IF(OR(A500&gt;'Immobilien-Kalkulation'!$B$70*12,D500&lt;=0),0,MAX(0,MIN(D500,E500-F500)))</f>
        <v>0</v>
      </c>
      <c r="H500" s="95">
        <v>0</v>
      </c>
      <c r="I500" s="53">
        <f>IF(A500&gt;'Immobilien-Kalkulation'!$B$70*12,0,MAX(0,D500-G500-J500))</f>
        <v>0</v>
      </c>
      <c r="J500" s="53">
        <f>IF(OR(A500&gt;'Immobilien-Kalkulation'!$B$70*12,D500&lt;=0),0,MIN(H500,MAX(0,D500-G500)))</f>
        <v>0</v>
      </c>
    </row>
    <row r="501" spans="1:10" x14ac:dyDescent="0.25">
      <c r="A501">
        <v>498</v>
      </c>
      <c r="B501">
        <f t="shared" si="7"/>
        <v>42</v>
      </c>
      <c r="C501" s="28">
        <f>IF(A501&gt;'Immobilien-Kalkulation'!$B$70*12,0,IF(AND('Immobilien-Kalkulation'!$B$72=1,B501&gt;'Immobilien-Kalkulation'!$B$69),'Immobilien-Kalkulation'!$B$73,'Immobilien-Kalkulation'!$B$65))</f>
        <v>0</v>
      </c>
      <c r="D501" s="53">
        <f>IF(A501&gt;'Immobilien-Kalkulation'!$B$70*12,0,I500)</f>
        <v>0</v>
      </c>
      <c r="E501" s="53">
        <f>IF(OR(A501&gt;'Immobilien-Kalkulation'!$B$70*12,D501&lt;=0),0,IF(AND('Immobilien-Kalkulation'!$B$72=1,B501&gt;'Immobilien-Kalkulation'!$B$69),MIN(D501*C501/12+'Immobilien-Kalkulation'!$B$74/12,D501*(1+C501/12)),MIN('Immobilien-Kalkulation'!$B$67,D501*(1+C501/12))))</f>
        <v>0</v>
      </c>
      <c r="F501" s="53">
        <f>IF(OR(A501&gt;'Immobilien-Kalkulation'!$B$70*12,D501&lt;=0),0,D501*C501/12)</f>
        <v>0</v>
      </c>
      <c r="G501" s="53">
        <f>IF(OR(A501&gt;'Immobilien-Kalkulation'!$B$70*12,D501&lt;=0),0,MAX(0,MIN(D501,E501-F501)))</f>
        <v>0</v>
      </c>
      <c r="H501" s="95">
        <v>0</v>
      </c>
      <c r="I501" s="53">
        <f>IF(A501&gt;'Immobilien-Kalkulation'!$B$70*12,0,MAX(0,D501-G501-J501))</f>
        <v>0</v>
      </c>
      <c r="J501" s="53">
        <f>IF(OR(A501&gt;'Immobilien-Kalkulation'!$B$70*12,D501&lt;=0),0,MIN(H501,MAX(0,D501-G501)))</f>
        <v>0</v>
      </c>
    </row>
    <row r="502" spans="1:10" x14ac:dyDescent="0.25">
      <c r="A502">
        <v>499</v>
      </c>
      <c r="B502">
        <f t="shared" si="7"/>
        <v>42</v>
      </c>
      <c r="C502" s="28">
        <f>IF(A502&gt;'Immobilien-Kalkulation'!$B$70*12,0,IF(AND('Immobilien-Kalkulation'!$B$72=1,B502&gt;'Immobilien-Kalkulation'!$B$69),'Immobilien-Kalkulation'!$B$73,'Immobilien-Kalkulation'!$B$65))</f>
        <v>0</v>
      </c>
      <c r="D502" s="53">
        <f>IF(A502&gt;'Immobilien-Kalkulation'!$B$70*12,0,I501)</f>
        <v>0</v>
      </c>
      <c r="E502" s="53">
        <f>IF(OR(A502&gt;'Immobilien-Kalkulation'!$B$70*12,D502&lt;=0),0,IF(AND('Immobilien-Kalkulation'!$B$72=1,B502&gt;'Immobilien-Kalkulation'!$B$69),MIN(D502*C502/12+'Immobilien-Kalkulation'!$B$74/12,D502*(1+C502/12)),MIN('Immobilien-Kalkulation'!$B$67,D502*(1+C502/12))))</f>
        <v>0</v>
      </c>
      <c r="F502" s="53">
        <f>IF(OR(A502&gt;'Immobilien-Kalkulation'!$B$70*12,D502&lt;=0),0,D502*C502/12)</f>
        <v>0</v>
      </c>
      <c r="G502" s="53">
        <f>IF(OR(A502&gt;'Immobilien-Kalkulation'!$B$70*12,D502&lt;=0),0,MAX(0,MIN(D502,E502-F502)))</f>
        <v>0</v>
      </c>
      <c r="H502" s="95">
        <v>0</v>
      </c>
      <c r="I502" s="53">
        <f>IF(A502&gt;'Immobilien-Kalkulation'!$B$70*12,0,MAX(0,D502-G502-J502))</f>
        <v>0</v>
      </c>
      <c r="J502" s="53">
        <f>IF(OR(A502&gt;'Immobilien-Kalkulation'!$B$70*12,D502&lt;=0),0,MIN(H502,MAX(0,D502-G502)))</f>
        <v>0</v>
      </c>
    </row>
    <row r="503" spans="1:10" x14ac:dyDescent="0.25">
      <c r="A503">
        <v>500</v>
      </c>
      <c r="B503">
        <f t="shared" si="7"/>
        <v>42</v>
      </c>
      <c r="C503" s="28">
        <f>IF(A503&gt;'Immobilien-Kalkulation'!$B$70*12,0,IF(AND('Immobilien-Kalkulation'!$B$72=1,B503&gt;'Immobilien-Kalkulation'!$B$69),'Immobilien-Kalkulation'!$B$73,'Immobilien-Kalkulation'!$B$65))</f>
        <v>0</v>
      </c>
      <c r="D503" s="53">
        <f>IF(A503&gt;'Immobilien-Kalkulation'!$B$70*12,0,I502)</f>
        <v>0</v>
      </c>
      <c r="E503" s="53">
        <f>IF(OR(A503&gt;'Immobilien-Kalkulation'!$B$70*12,D503&lt;=0),0,IF(AND('Immobilien-Kalkulation'!$B$72=1,B503&gt;'Immobilien-Kalkulation'!$B$69),MIN(D503*C503/12+'Immobilien-Kalkulation'!$B$74/12,D503*(1+C503/12)),MIN('Immobilien-Kalkulation'!$B$67,D503*(1+C503/12))))</f>
        <v>0</v>
      </c>
      <c r="F503" s="53">
        <f>IF(OR(A503&gt;'Immobilien-Kalkulation'!$B$70*12,D503&lt;=0),0,D503*C503/12)</f>
        <v>0</v>
      </c>
      <c r="G503" s="53">
        <f>IF(OR(A503&gt;'Immobilien-Kalkulation'!$B$70*12,D503&lt;=0),0,MAX(0,MIN(D503,E503-F503)))</f>
        <v>0</v>
      </c>
      <c r="H503" s="95">
        <v>0</v>
      </c>
      <c r="I503" s="53">
        <f>IF(A503&gt;'Immobilien-Kalkulation'!$B$70*12,0,MAX(0,D503-G503-J503))</f>
        <v>0</v>
      </c>
      <c r="J503" s="53">
        <f>IF(OR(A503&gt;'Immobilien-Kalkulation'!$B$70*12,D503&lt;=0),0,MIN(H503,MAX(0,D503-G503)))</f>
        <v>0</v>
      </c>
    </row>
    <row r="504" spans="1:10" x14ac:dyDescent="0.25">
      <c r="A504">
        <v>501</v>
      </c>
      <c r="B504">
        <f t="shared" si="7"/>
        <v>42</v>
      </c>
      <c r="C504" s="28">
        <f>IF(A504&gt;'Immobilien-Kalkulation'!$B$70*12,0,IF(AND('Immobilien-Kalkulation'!$B$72=1,B504&gt;'Immobilien-Kalkulation'!$B$69),'Immobilien-Kalkulation'!$B$73,'Immobilien-Kalkulation'!$B$65))</f>
        <v>0</v>
      </c>
      <c r="D504" s="53">
        <f>IF(A504&gt;'Immobilien-Kalkulation'!$B$70*12,0,I503)</f>
        <v>0</v>
      </c>
      <c r="E504" s="53">
        <f>IF(OR(A504&gt;'Immobilien-Kalkulation'!$B$70*12,D504&lt;=0),0,IF(AND('Immobilien-Kalkulation'!$B$72=1,B504&gt;'Immobilien-Kalkulation'!$B$69),MIN(D504*C504/12+'Immobilien-Kalkulation'!$B$74/12,D504*(1+C504/12)),MIN('Immobilien-Kalkulation'!$B$67,D504*(1+C504/12))))</f>
        <v>0</v>
      </c>
      <c r="F504" s="53">
        <f>IF(OR(A504&gt;'Immobilien-Kalkulation'!$B$70*12,D504&lt;=0),0,D504*C504/12)</f>
        <v>0</v>
      </c>
      <c r="G504" s="53">
        <f>IF(OR(A504&gt;'Immobilien-Kalkulation'!$B$70*12,D504&lt;=0),0,MAX(0,MIN(D504,E504-F504)))</f>
        <v>0</v>
      </c>
      <c r="H504" s="95">
        <v>0</v>
      </c>
      <c r="I504" s="53">
        <f>IF(A504&gt;'Immobilien-Kalkulation'!$B$70*12,0,MAX(0,D504-G504-J504))</f>
        <v>0</v>
      </c>
      <c r="J504" s="53">
        <f>IF(OR(A504&gt;'Immobilien-Kalkulation'!$B$70*12,D504&lt;=0),0,MIN(H504,MAX(0,D504-G504)))</f>
        <v>0</v>
      </c>
    </row>
    <row r="505" spans="1:10" x14ac:dyDescent="0.25">
      <c r="A505">
        <v>502</v>
      </c>
      <c r="B505">
        <f t="shared" si="7"/>
        <v>42</v>
      </c>
      <c r="C505" s="28">
        <f>IF(A505&gt;'Immobilien-Kalkulation'!$B$70*12,0,IF(AND('Immobilien-Kalkulation'!$B$72=1,B505&gt;'Immobilien-Kalkulation'!$B$69),'Immobilien-Kalkulation'!$B$73,'Immobilien-Kalkulation'!$B$65))</f>
        <v>0</v>
      </c>
      <c r="D505" s="53">
        <f>IF(A505&gt;'Immobilien-Kalkulation'!$B$70*12,0,I504)</f>
        <v>0</v>
      </c>
      <c r="E505" s="53">
        <f>IF(OR(A505&gt;'Immobilien-Kalkulation'!$B$70*12,D505&lt;=0),0,IF(AND('Immobilien-Kalkulation'!$B$72=1,B505&gt;'Immobilien-Kalkulation'!$B$69),MIN(D505*C505/12+'Immobilien-Kalkulation'!$B$74/12,D505*(1+C505/12)),MIN('Immobilien-Kalkulation'!$B$67,D505*(1+C505/12))))</f>
        <v>0</v>
      </c>
      <c r="F505" s="53">
        <f>IF(OR(A505&gt;'Immobilien-Kalkulation'!$B$70*12,D505&lt;=0),0,D505*C505/12)</f>
        <v>0</v>
      </c>
      <c r="G505" s="53">
        <f>IF(OR(A505&gt;'Immobilien-Kalkulation'!$B$70*12,D505&lt;=0),0,MAX(0,MIN(D505,E505-F505)))</f>
        <v>0</v>
      </c>
      <c r="H505" s="95">
        <v>0</v>
      </c>
      <c r="I505" s="53">
        <f>IF(A505&gt;'Immobilien-Kalkulation'!$B$70*12,0,MAX(0,D505-G505-J505))</f>
        <v>0</v>
      </c>
      <c r="J505" s="53">
        <f>IF(OR(A505&gt;'Immobilien-Kalkulation'!$B$70*12,D505&lt;=0),0,MIN(H505,MAX(0,D505-G505)))</f>
        <v>0</v>
      </c>
    </row>
    <row r="506" spans="1:10" x14ac:dyDescent="0.25">
      <c r="A506">
        <v>503</v>
      </c>
      <c r="B506">
        <f t="shared" si="7"/>
        <v>42</v>
      </c>
      <c r="C506" s="28">
        <f>IF(A506&gt;'Immobilien-Kalkulation'!$B$70*12,0,IF(AND('Immobilien-Kalkulation'!$B$72=1,B506&gt;'Immobilien-Kalkulation'!$B$69),'Immobilien-Kalkulation'!$B$73,'Immobilien-Kalkulation'!$B$65))</f>
        <v>0</v>
      </c>
      <c r="D506" s="53">
        <f>IF(A506&gt;'Immobilien-Kalkulation'!$B$70*12,0,I505)</f>
        <v>0</v>
      </c>
      <c r="E506" s="53">
        <f>IF(OR(A506&gt;'Immobilien-Kalkulation'!$B$70*12,D506&lt;=0),0,IF(AND('Immobilien-Kalkulation'!$B$72=1,B506&gt;'Immobilien-Kalkulation'!$B$69),MIN(D506*C506/12+'Immobilien-Kalkulation'!$B$74/12,D506*(1+C506/12)),MIN('Immobilien-Kalkulation'!$B$67,D506*(1+C506/12))))</f>
        <v>0</v>
      </c>
      <c r="F506" s="53">
        <f>IF(OR(A506&gt;'Immobilien-Kalkulation'!$B$70*12,D506&lt;=0),0,D506*C506/12)</f>
        <v>0</v>
      </c>
      <c r="G506" s="53">
        <f>IF(OR(A506&gt;'Immobilien-Kalkulation'!$B$70*12,D506&lt;=0),0,MAX(0,MIN(D506,E506-F506)))</f>
        <v>0</v>
      </c>
      <c r="H506" s="95">
        <v>0</v>
      </c>
      <c r="I506" s="53">
        <f>IF(A506&gt;'Immobilien-Kalkulation'!$B$70*12,0,MAX(0,D506-G506-J506))</f>
        <v>0</v>
      </c>
      <c r="J506" s="53">
        <f>IF(OR(A506&gt;'Immobilien-Kalkulation'!$B$70*12,D506&lt;=0),0,MIN(H506,MAX(0,D506-G506)))</f>
        <v>0</v>
      </c>
    </row>
    <row r="507" spans="1:10" x14ac:dyDescent="0.25">
      <c r="A507">
        <v>504</v>
      </c>
      <c r="B507">
        <f t="shared" si="7"/>
        <v>42</v>
      </c>
      <c r="C507" s="28">
        <f>IF(A507&gt;'Immobilien-Kalkulation'!$B$70*12,0,IF(AND('Immobilien-Kalkulation'!$B$72=1,B507&gt;'Immobilien-Kalkulation'!$B$69),'Immobilien-Kalkulation'!$B$73,'Immobilien-Kalkulation'!$B$65))</f>
        <v>0</v>
      </c>
      <c r="D507" s="53">
        <f>IF(A507&gt;'Immobilien-Kalkulation'!$B$70*12,0,I506)</f>
        <v>0</v>
      </c>
      <c r="E507" s="53">
        <f>IF(OR(A507&gt;'Immobilien-Kalkulation'!$B$70*12,D507&lt;=0),0,IF(AND('Immobilien-Kalkulation'!$B$72=1,B507&gt;'Immobilien-Kalkulation'!$B$69),MIN(D507*C507/12+'Immobilien-Kalkulation'!$B$74/12,D507*(1+C507/12)),MIN('Immobilien-Kalkulation'!$B$67,D507*(1+C507/12))))</f>
        <v>0</v>
      </c>
      <c r="F507" s="53">
        <f>IF(OR(A507&gt;'Immobilien-Kalkulation'!$B$70*12,D507&lt;=0),0,D507*C507/12)</f>
        <v>0</v>
      </c>
      <c r="G507" s="53">
        <f>IF(OR(A507&gt;'Immobilien-Kalkulation'!$B$70*12,D507&lt;=0),0,MAX(0,MIN(D507,E507-F507)))</f>
        <v>0</v>
      </c>
      <c r="H507" s="95">
        <v>0</v>
      </c>
      <c r="I507" s="53">
        <f>IF(A507&gt;'Immobilien-Kalkulation'!$B$70*12,0,MAX(0,D507-G507-J507))</f>
        <v>0</v>
      </c>
      <c r="J507" s="53">
        <f>IF(OR(A507&gt;'Immobilien-Kalkulation'!$B$70*12,D507&lt;=0),0,MIN(H507,MAX(0,D507-G507)))</f>
        <v>0</v>
      </c>
    </row>
    <row r="508" spans="1:10" x14ac:dyDescent="0.25">
      <c r="A508">
        <v>505</v>
      </c>
      <c r="B508">
        <f t="shared" si="7"/>
        <v>43</v>
      </c>
      <c r="C508" s="28">
        <f>IF(A508&gt;'Immobilien-Kalkulation'!$B$70*12,0,IF(AND('Immobilien-Kalkulation'!$B$72=1,B508&gt;'Immobilien-Kalkulation'!$B$69),'Immobilien-Kalkulation'!$B$73,'Immobilien-Kalkulation'!$B$65))</f>
        <v>0</v>
      </c>
      <c r="D508" s="53">
        <f>IF(A508&gt;'Immobilien-Kalkulation'!$B$70*12,0,I507)</f>
        <v>0</v>
      </c>
      <c r="E508" s="53">
        <f>IF(OR(A508&gt;'Immobilien-Kalkulation'!$B$70*12,D508&lt;=0),0,IF(AND('Immobilien-Kalkulation'!$B$72=1,B508&gt;'Immobilien-Kalkulation'!$B$69),MIN(D508*C508/12+'Immobilien-Kalkulation'!$B$74/12,D508*(1+C508/12)),MIN('Immobilien-Kalkulation'!$B$67,D508*(1+C508/12))))</f>
        <v>0</v>
      </c>
      <c r="F508" s="53">
        <f>IF(OR(A508&gt;'Immobilien-Kalkulation'!$B$70*12,D508&lt;=0),0,D508*C508/12)</f>
        <v>0</v>
      </c>
      <c r="G508" s="53">
        <f>IF(OR(A508&gt;'Immobilien-Kalkulation'!$B$70*12,D508&lt;=0),0,MAX(0,MIN(D508,E508-F508)))</f>
        <v>0</v>
      </c>
      <c r="H508" s="95">
        <v>0</v>
      </c>
      <c r="I508" s="53">
        <f>IF(A508&gt;'Immobilien-Kalkulation'!$B$70*12,0,MAX(0,D508-G508-J508))</f>
        <v>0</v>
      </c>
      <c r="J508" s="53">
        <f>IF(OR(A508&gt;'Immobilien-Kalkulation'!$B$70*12,D508&lt;=0),0,MIN(H508,MAX(0,D508-G508)))</f>
        <v>0</v>
      </c>
    </row>
    <row r="509" spans="1:10" x14ac:dyDescent="0.25">
      <c r="A509">
        <v>506</v>
      </c>
      <c r="B509">
        <f t="shared" si="7"/>
        <v>43</v>
      </c>
      <c r="C509" s="28">
        <f>IF(A509&gt;'Immobilien-Kalkulation'!$B$70*12,0,IF(AND('Immobilien-Kalkulation'!$B$72=1,B509&gt;'Immobilien-Kalkulation'!$B$69),'Immobilien-Kalkulation'!$B$73,'Immobilien-Kalkulation'!$B$65))</f>
        <v>0</v>
      </c>
      <c r="D509" s="53">
        <f>IF(A509&gt;'Immobilien-Kalkulation'!$B$70*12,0,I508)</f>
        <v>0</v>
      </c>
      <c r="E509" s="53">
        <f>IF(OR(A509&gt;'Immobilien-Kalkulation'!$B$70*12,D509&lt;=0),0,IF(AND('Immobilien-Kalkulation'!$B$72=1,B509&gt;'Immobilien-Kalkulation'!$B$69),MIN(D509*C509/12+'Immobilien-Kalkulation'!$B$74/12,D509*(1+C509/12)),MIN('Immobilien-Kalkulation'!$B$67,D509*(1+C509/12))))</f>
        <v>0</v>
      </c>
      <c r="F509" s="53">
        <f>IF(OR(A509&gt;'Immobilien-Kalkulation'!$B$70*12,D509&lt;=0),0,D509*C509/12)</f>
        <v>0</v>
      </c>
      <c r="G509" s="53">
        <f>IF(OR(A509&gt;'Immobilien-Kalkulation'!$B$70*12,D509&lt;=0),0,MAX(0,MIN(D509,E509-F509)))</f>
        <v>0</v>
      </c>
      <c r="H509" s="95">
        <v>0</v>
      </c>
      <c r="I509" s="53">
        <f>IF(A509&gt;'Immobilien-Kalkulation'!$B$70*12,0,MAX(0,D509-G509-J509))</f>
        <v>0</v>
      </c>
      <c r="J509" s="53">
        <f>IF(OR(A509&gt;'Immobilien-Kalkulation'!$B$70*12,D509&lt;=0),0,MIN(H509,MAX(0,D509-G509)))</f>
        <v>0</v>
      </c>
    </row>
    <row r="510" spans="1:10" x14ac:dyDescent="0.25">
      <c r="A510">
        <v>507</v>
      </c>
      <c r="B510">
        <f t="shared" si="7"/>
        <v>43</v>
      </c>
      <c r="C510" s="28">
        <f>IF(A510&gt;'Immobilien-Kalkulation'!$B$70*12,0,IF(AND('Immobilien-Kalkulation'!$B$72=1,B510&gt;'Immobilien-Kalkulation'!$B$69),'Immobilien-Kalkulation'!$B$73,'Immobilien-Kalkulation'!$B$65))</f>
        <v>0</v>
      </c>
      <c r="D510" s="53">
        <f>IF(A510&gt;'Immobilien-Kalkulation'!$B$70*12,0,I509)</f>
        <v>0</v>
      </c>
      <c r="E510" s="53">
        <f>IF(OR(A510&gt;'Immobilien-Kalkulation'!$B$70*12,D510&lt;=0),0,IF(AND('Immobilien-Kalkulation'!$B$72=1,B510&gt;'Immobilien-Kalkulation'!$B$69),MIN(D510*C510/12+'Immobilien-Kalkulation'!$B$74/12,D510*(1+C510/12)),MIN('Immobilien-Kalkulation'!$B$67,D510*(1+C510/12))))</f>
        <v>0</v>
      </c>
      <c r="F510" s="53">
        <f>IF(OR(A510&gt;'Immobilien-Kalkulation'!$B$70*12,D510&lt;=0),0,D510*C510/12)</f>
        <v>0</v>
      </c>
      <c r="G510" s="53">
        <f>IF(OR(A510&gt;'Immobilien-Kalkulation'!$B$70*12,D510&lt;=0),0,MAX(0,MIN(D510,E510-F510)))</f>
        <v>0</v>
      </c>
      <c r="H510" s="95">
        <v>0</v>
      </c>
      <c r="I510" s="53">
        <f>IF(A510&gt;'Immobilien-Kalkulation'!$B$70*12,0,MAX(0,D510-G510-J510))</f>
        <v>0</v>
      </c>
      <c r="J510" s="53">
        <f>IF(OR(A510&gt;'Immobilien-Kalkulation'!$B$70*12,D510&lt;=0),0,MIN(H510,MAX(0,D510-G510)))</f>
        <v>0</v>
      </c>
    </row>
    <row r="511" spans="1:10" x14ac:dyDescent="0.25">
      <c r="A511">
        <v>508</v>
      </c>
      <c r="B511">
        <f t="shared" si="7"/>
        <v>43</v>
      </c>
      <c r="C511" s="28">
        <f>IF(A511&gt;'Immobilien-Kalkulation'!$B$70*12,0,IF(AND('Immobilien-Kalkulation'!$B$72=1,B511&gt;'Immobilien-Kalkulation'!$B$69),'Immobilien-Kalkulation'!$B$73,'Immobilien-Kalkulation'!$B$65))</f>
        <v>0</v>
      </c>
      <c r="D511" s="53">
        <f>IF(A511&gt;'Immobilien-Kalkulation'!$B$70*12,0,I510)</f>
        <v>0</v>
      </c>
      <c r="E511" s="53">
        <f>IF(OR(A511&gt;'Immobilien-Kalkulation'!$B$70*12,D511&lt;=0),0,IF(AND('Immobilien-Kalkulation'!$B$72=1,B511&gt;'Immobilien-Kalkulation'!$B$69),MIN(D511*C511/12+'Immobilien-Kalkulation'!$B$74/12,D511*(1+C511/12)),MIN('Immobilien-Kalkulation'!$B$67,D511*(1+C511/12))))</f>
        <v>0</v>
      </c>
      <c r="F511" s="53">
        <f>IF(OR(A511&gt;'Immobilien-Kalkulation'!$B$70*12,D511&lt;=0),0,D511*C511/12)</f>
        <v>0</v>
      </c>
      <c r="G511" s="53">
        <f>IF(OR(A511&gt;'Immobilien-Kalkulation'!$B$70*12,D511&lt;=0),0,MAX(0,MIN(D511,E511-F511)))</f>
        <v>0</v>
      </c>
      <c r="H511" s="95">
        <v>0</v>
      </c>
      <c r="I511" s="53">
        <f>IF(A511&gt;'Immobilien-Kalkulation'!$B$70*12,0,MAX(0,D511-G511-J511))</f>
        <v>0</v>
      </c>
      <c r="J511" s="53">
        <f>IF(OR(A511&gt;'Immobilien-Kalkulation'!$B$70*12,D511&lt;=0),0,MIN(H511,MAX(0,D511-G511)))</f>
        <v>0</v>
      </c>
    </row>
    <row r="512" spans="1:10" x14ac:dyDescent="0.25">
      <c r="A512">
        <v>509</v>
      </c>
      <c r="B512">
        <f t="shared" si="7"/>
        <v>43</v>
      </c>
      <c r="C512" s="28">
        <f>IF(A512&gt;'Immobilien-Kalkulation'!$B$70*12,0,IF(AND('Immobilien-Kalkulation'!$B$72=1,B512&gt;'Immobilien-Kalkulation'!$B$69),'Immobilien-Kalkulation'!$B$73,'Immobilien-Kalkulation'!$B$65))</f>
        <v>0</v>
      </c>
      <c r="D512" s="53">
        <f>IF(A512&gt;'Immobilien-Kalkulation'!$B$70*12,0,I511)</f>
        <v>0</v>
      </c>
      <c r="E512" s="53">
        <f>IF(OR(A512&gt;'Immobilien-Kalkulation'!$B$70*12,D512&lt;=0),0,IF(AND('Immobilien-Kalkulation'!$B$72=1,B512&gt;'Immobilien-Kalkulation'!$B$69),MIN(D512*C512/12+'Immobilien-Kalkulation'!$B$74/12,D512*(1+C512/12)),MIN('Immobilien-Kalkulation'!$B$67,D512*(1+C512/12))))</f>
        <v>0</v>
      </c>
      <c r="F512" s="53">
        <f>IF(OR(A512&gt;'Immobilien-Kalkulation'!$B$70*12,D512&lt;=0),0,D512*C512/12)</f>
        <v>0</v>
      </c>
      <c r="G512" s="53">
        <f>IF(OR(A512&gt;'Immobilien-Kalkulation'!$B$70*12,D512&lt;=0),0,MAX(0,MIN(D512,E512-F512)))</f>
        <v>0</v>
      </c>
      <c r="H512" s="95">
        <v>0</v>
      </c>
      <c r="I512" s="53">
        <f>IF(A512&gt;'Immobilien-Kalkulation'!$B$70*12,0,MAX(0,D512-G512-J512))</f>
        <v>0</v>
      </c>
      <c r="J512" s="53">
        <f>IF(OR(A512&gt;'Immobilien-Kalkulation'!$B$70*12,D512&lt;=0),0,MIN(H512,MAX(0,D512-G512)))</f>
        <v>0</v>
      </c>
    </row>
    <row r="513" spans="1:10" x14ac:dyDescent="0.25">
      <c r="A513">
        <v>510</v>
      </c>
      <c r="B513">
        <f t="shared" si="7"/>
        <v>43</v>
      </c>
      <c r="C513" s="28">
        <f>IF(A513&gt;'Immobilien-Kalkulation'!$B$70*12,0,IF(AND('Immobilien-Kalkulation'!$B$72=1,B513&gt;'Immobilien-Kalkulation'!$B$69),'Immobilien-Kalkulation'!$B$73,'Immobilien-Kalkulation'!$B$65))</f>
        <v>0</v>
      </c>
      <c r="D513" s="53">
        <f>IF(A513&gt;'Immobilien-Kalkulation'!$B$70*12,0,I512)</f>
        <v>0</v>
      </c>
      <c r="E513" s="53">
        <f>IF(OR(A513&gt;'Immobilien-Kalkulation'!$B$70*12,D513&lt;=0),0,IF(AND('Immobilien-Kalkulation'!$B$72=1,B513&gt;'Immobilien-Kalkulation'!$B$69),MIN(D513*C513/12+'Immobilien-Kalkulation'!$B$74/12,D513*(1+C513/12)),MIN('Immobilien-Kalkulation'!$B$67,D513*(1+C513/12))))</f>
        <v>0</v>
      </c>
      <c r="F513" s="53">
        <f>IF(OR(A513&gt;'Immobilien-Kalkulation'!$B$70*12,D513&lt;=0),0,D513*C513/12)</f>
        <v>0</v>
      </c>
      <c r="G513" s="53">
        <f>IF(OR(A513&gt;'Immobilien-Kalkulation'!$B$70*12,D513&lt;=0),0,MAX(0,MIN(D513,E513-F513)))</f>
        <v>0</v>
      </c>
      <c r="H513" s="95">
        <v>0</v>
      </c>
      <c r="I513" s="53">
        <f>IF(A513&gt;'Immobilien-Kalkulation'!$B$70*12,0,MAX(0,D513-G513-J513))</f>
        <v>0</v>
      </c>
      <c r="J513" s="53">
        <f>IF(OR(A513&gt;'Immobilien-Kalkulation'!$B$70*12,D513&lt;=0),0,MIN(H513,MAX(0,D513-G513)))</f>
        <v>0</v>
      </c>
    </row>
    <row r="514" spans="1:10" x14ac:dyDescent="0.25">
      <c r="A514">
        <v>511</v>
      </c>
      <c r="B514">
        <f t="shared" si="7"/>
        <v>43</v>
      </c>
      <c r="C514" s="28">
        <f>IF(A514&gt;'Immobilien-Kalkulation'!$B$70*12,0,IF(AND('Immobilien-Kalkulation'!$B$72=1,B514&gt;'Immobilien-Kalkulation'!$B$69),'Immobilien-Kalkulation'!$B$73,'Immobilien-Kalkulation'!$B$65))</f>
        <v>0</v>
      </c>
      <c r="D514" s="53">
        <f>IF(A514&gt;'Immobilien-Kalkulation'!$B$70*12,0,I513)</f>
        <v>0</v>
      </c>
      <c r="E514" s="53">
        <f>IF(OR(A514&gt;'Immobilien-Kalkulation'!$B$70*12,D514&lt;=0),0,IF(AND('Immobilien-Kalkulation'!$B$72=1,B514&gt;'Immobilien-Kalkulation'!$B$69),MIN(D514*C514/12+'Immobilien-Kalkulation'!$B$74/12,D514*(1+C514/12)),MIN('Immobilien-Kalkulation'!$B$67,D514*(1+C514/12))))</f>
        <v>0</v>
      </c>
      <c r="F514" s="53">
        <f>IF(OR(A514&gt;'Immobilien-Kalkulation'!$B$70*12,D514&lt;=0),0,D514*C514/12)</f>
        <v>0</v>
      </c>
      <c r="G514" s="53">
        <f>IF(OR(A514&gt;'Immobilien-Kalkulation'!$B$70*12,D514&lt;=0),0,MAX(0,MIN(D514,E514-F514)))</f>
        <v>0</v>
      </c>
      <c r="H514" s="95">
        <v>0</v>
      </c>
      <c r="I514" s="53">
        <f>IF(A514&gt;'Immobilien-Kalkulation'!$B$70*12,0,MAX(0,D514-G514-J514))</f>
        <v>0</v>
      </c>
      <c r="J514" s="53">
        <f>IF(OR(A514&gt;'Immobilien-Kalkulation'!$B$70*12,D514&lt;=0),0,MIN(H514,MAX(0,D514-G514)))</f>
        <v>0</v>
      </c>
    </row>
    <row r="515" spans="1:10" x14ac:dyDescent="0.25">
      <c r="A515">
        <v>512</v>
      </c>
      <c r="B515">
        <f t="shared" si="7"/>
        <v>43</v>
      </c>
      <c r="C515" s="28">
        <f>IF(A515&gt;'Immobilien-Kalkulation'!$B$70*12,0,IF(AND('Immobilien-Kalkulation'!$B$72=1,B515&gt;'Immobilien-Kalkulation'!$B$69),'Immobilien-Kalkulation'!$B$73,'Immobilien-Kalkulation'!$B$65))</f>
        <v>0</v>
      </c>
      <c r="D515" s="53">
        <f>IF(A515&gt;'Immobilien-Kalkulation'!$B$70*12,0,I514)</f>
        <v>0</v>
      </c>
      <c r="E515" s="53">
        <f>IF(OR(A515&gt;'Immobilien-Kalkulation'!$B$70*12,D515&lt;=0),0,IF(AND('Immobilien-Kalkulation'!$B$72=1,B515&gt;'Immobilien-Kalkulation'!$B$69),MIN(D515*C515/12+'Immobilien-Kalkulation'!$B$74/12,D515*(1+C515/12)),MIN('Immobilien-Kalkulation'!$B$67,D515*(1+C515/12))))</f>
        <v>0</v>
      </c>
      <c r="F515" s="53">
        <f>IF(OR(A515&gt;'Immobilien-Kalkulation'!$B$70*12,D515&lt;=0),0,D515*C515/12)</f>
        <v>0</v>
      </c>
      <c r="G515" s="53">
        <f>IF(OR(A515&gt;'Immobilien-Kalkulation'!$B$70*12,D515&lt;=0),0,MAX(0,MIN(D515,E515-F515)))</f>
        <v>0</v>
      </c>
      <c r="H515" s="95">
        <v>0</v>
      </c>
      <c r="I515" s="53">
        <f>IF(A515&gt;'Immobilien-Kalkulation'!$B$70*12,0,MAX(0,D515-G515-J515))</f>
        <v>0</v>
      </c>
      <c r="J515" s="53">
        <f>IF(OR(A515&gt;'Immobilien-Kalkulation'!$B$70*12,D515&lt;=0),0,MIN(H515,MAX(0,D515-G515)))</f>
        <v>0</v>
      </c>
    </row>
    <row r="516" spans="1:10" x14ac:dyDescent="0.25">
      <c r="A516">
        <v>513</v>
      </c>
      <c r="B516">
        <f t="shared" ref="B516:B579" si="8">INT((A516-1)/12)+1</f>
        <v>43</v>
      </c>
      <c r="C516" s="28">
        <f>IF(A516&gt;'Immobilien-Kalkulation'!$B$70*12,0,IF(AND('Immobilien-Kalkulation'!$B$72=1,B516&gt;'Immobilien-Kalkulation'!$B$69),'Immobilien-Kalkulation'!$B$73,'Immobilien-Kalkulation'!$B$65))</f>
        <v>0</v>
      </c>
      <c r="D516" s="53">
        <f>IF(A516&gt;'Immobilien-Kalkulation'!$B$70*12,0,I515)</f>
        <v>0</v>
      </c>
      <c r="E516" s="53">
        <f>IF(OR(A516&gt;'Immobilien-Kalkulation'!$B$70*12,D516&lt;=0),0,IF(AND('Immobilien-Kalkulation'!$B$72=1,B516&gt;'Immobilien-Kalkulation'!$B$69),MIN(D516*C516/12+'Immobilien-Kalkulation'!$B$74/12,D516*(1+C516/12)),MIN('Immobilien-Kalkulation'!$B$67,D516*(1+C516/12))))</f>
        <v>0</v>
      </c>
      <c r="F516" s="53">
        <f>IF(OR(A516&gt;'Immobilien-Kalkulation'!$B$70*12,D516&lt;=0),0,D516*C516/12)</f>
        <v>0</v>
      </c>
      <c r="G516" s="53">
        <f>IF(OR(A516&gt;'Immobilien-Kalkulation'!$B$70*12,D516&lt;=0),0,MAX(0,MIN(D516,E516-F516)))</f>
        <v>0</v>
      </c>
      <c r="H516" s="95">
        <v>0</v>
      </c>
      <c r="I516" s="53">
        <f>IF(A516&gt;'Immobilien-Kalkulation'!$B$70*12,0,MAX(0,D516-G516-J516))</f>
        <v>0</v>
      </c>
      <c r="J516" s="53">
        <f>IF(OR(A516&gt;'Immobilien-Kalkulation'!$B$70*12,D516&lt;=0),0,MIN(H516,MAX(0,D516-G516)))</f>
        <v>0</v>
      </c>
    </row>
    <row r="517" spans="1:10" x14ac:dyDescent="0.25">
      <c r="A517">
        <v>514</v>
      </c>
      <c r="B517">
        <f t="shared" si="8"/>
        <v>43</v>
      </c>
      <c r="C517" s="28">
        <f>IF(A517&gt;'Immobilien-Kalkulation'!$B$70*12,0,IF(AND('Immobilien-Kalkulation'!$B$72=1,B517&gt;'Immobilien-Kalkulation'!$B$69),'Immobilien-Kalkulation'!$B$73,'Immobilien-Kalkulation'!$B$65))</f>
        <v>0</v>
      </c>
      <c r="D517" s="53">
        <f>IF(A517&gt;'Immobilien-Kalkulation'!$B$70*12,0,I516)</f>
        <v>0</v>
      </c>
      <c r="E517" s="53">
        <f>IF(OR(A517&gt;'Immobilien-Kalkulation'!$B$70*12,D517&lt;=0),0,IF(AND('Immobilien-Kalkulation'!$B$72=1,B517&gt;'Immobilien-Kalkulation'!$B$69),MIN(D517*C517/12+'Immobilien-Kalkulation'!$B$74/12,D517*(1+C517/12)),MIN('Immobilien-Kalkulation'!$B$67,D517*(1+C517/12))))</f>
        <v>0</v>
      </c>
      <c r="F517" s="53">
        <f>IF(OR(A517&gt;'Immobilien-Kalkulation'!$B$70*12,D517&lt;=0),0,D517*C517/12)</f>
        <v>0</v>
      </c>
      <c r="G517" s="53">
        <f>IF(OR(A517&gt;'Immobilien-Kalkulation'!$B$70*12,D517&lt;=0),0,MAX(0,MIN(D517,E517-F517)))</f>
        <v>0</v>
      </c>
      <c r="H517" s="95">
        <v>0</v>
      </c>
      <c r="I517" s="53">
        <f>IF(A517&gt;'Immobilien-Kalkulation'!$B$70*12,0,MAX(0,D517-G517-J517))</f>
        <v>0</v>
      </c>
      <c r="J517" s="53">
        <f>IF(OR(A517&gt;'Immobilien-Kalkulation'!$B$70*12,D517&lt;=0),0,MIN(H517,MAX(0,D517-G517)))</f>
        <v>0</v>
      </c>
    </row>
    <row r="518" spans="1:10" x14ac:dyDescent="0.25">
      <c r="A518">
        <v>515</v>
      </c>
      <c r="B518">
        <f t="shared" si="8"/>
        <v>43</v>
      </c>
      <c r="C518" s="28">
        <f>IF(A518&gt;'Immobilien-Kalkulation'!$B$70*12,0,IF(AND('Immobilien-Kalkulation'!$B$72=1,B518&gt;'Immobilien-Kalkulation'!$B$69),'Immobilien-Kalkulation'!$B$73,'Immobilien-Kalkulation'!$B$65))</f>
        <v>0</v>
      </c>
      <c r="D518" s="53">
        <f>IF(A518&gt;'Immobilien-Kalkulation'!$B$70*12,0,I517)</f>
        <v>0</v>
      </c>
      <c r="E518" s="53">
        <f>IF(OR(A518&gt;'Immobilien-Kalkulation'!$B$70*12,D518&lt;=0),0,IF(AND('Immobilien-Kalkulation'!$B$72=1,B518&gt;'Immobilien-Kalkulation'!$B$69),MIN(D518*C518/12+'Immobilien-Kalkulation'!$B$74/12,D518*(1+C518/12)),MIN('Immobilien-Kalkulation'!$B$67,D518*(1+C518/12))))</f>
        <v>0</v>
      </c>
      <c r="F518" s="53">
        <f>IF(OR(A518&gt;'Immobilien-Kalkulation'!$B$70*12,D518&lt;=0),0,D518*C518/12)</f>
        <v>0</v>
      </c>
      <c r="G518" s="53">
        <f>IF(OR(A518&gt;'Immobilien-Kalkulation'!$B$70*12,D518&lt;=0),0,MAX(0,MIN(D518,E518-F518)))</f>
        <v>0</v>
      </c>
      <c r="H518" s="95">
        <v>0</v>
      </c>
      <c r="I518" s="53">
        <f>IF(A518&gt;'Immobilien-Kalkulation'!$B$70*12,0,MAX(0,D518-G518-J518))</f>
        <v>0</v>
      </c>
      <c r="J518" s="53">
        <f>IF(OR(A518&gt;'Immobilien-Kalkulation'!$B$70*12,D518&lt;=0),0,MIN(H518,MAX(0,D518-G518)))</f>
        <v>0</v>
      </c>
    </row>
    <row r="519" spans="1:10" x14ac:dyDescent="0.25">
      <c r="A519">
        <v>516</v>
      </c>
      <c r="B519">
        <f t="shared" si="8"/>
        <v>43</v>
      </c>
      <c r="C519" s="28">
        <f>IF(A519&gt;'Immobilien-Kalkulation'!$B$70*12,0,IF(AND('Immobilien-Kalkulation'!$B$72=1,B519&gt;'Immobilien-Kalkulation'!$B$69),'Immobilien-Kalkulation'!$B$73,'Immobilien-Kalkulation'!$B$65))</f>
        <v>0</v>
      </c>
      <c r="D519" s="53">
        <f>IF(A519&gt;'Immobilien-Kalkulation'!$B$70*12,0,I518)</f>
        <v>0</v>
      </c>
      <c r="E519" s="53">
        <f>IF(OR(A519&gt;'Immobilien-Kalkulation'!$B$70*12,D519&lt;=0),0,IF(AND('Immobilien-Kalkulation'!$B$72=1,B519&gt;'Immobilien-Kalkulation'!$B$69),MIN(D519*C519/12+'Immobilien-Kalkulation'!$B$74/12,D519*(1+C519/12)),MIN('Immobilien-Kalkulation'!$B$67,D519*(1+C519/12))))</f>
        <v>0</v>
      </c>
      <c r="F519" s="53">
        <f>IF(OR(A519&gt;'Immobilien-Kalkulation'!$B$70*12,D519&lt;=0),0,D519*C519/12)</f>
        <v>0</v>
      </c>
      <c r="G519" s="53">
        <f>IF(OR(A519&gt;'Immobilien-Kalkulation'!$B$70*12,D519&lt;=0),0,MAX(0,MIN(D519,E519-F519)))</f>
        <v>0</v>
      </c>
      <c r="H519" s="95">
        <v>0</v>
      </c>
      <c r="I519" s="53">
        <f>IF(A519&gt;'Immobilien-Kalkulation'!$B$70*12,0,MAX(0,D519-G519-J519))</f>
        <v>0</v>
      </c>
      <c r="J519" s="53">
        <f>IF(OR(A519&gt;'Immobilien-Kalkulation'!$B$70*12,D519&lt;=0),0,MIN(H519,MAX(0,D519-G519)))</f>
        <v>0</v>
      </c>
    </row>
    <row r="520" spans="1:10" x14ac:dyDescent="0.25">
      <c r="A520">
        <v>517</v>
      </c>
      <c r="B520">
        <f t="shared" si="8"/>
        <v>44</v>
      </c>
      <c r="C520" s="28">
        <f>IF(A520&gt;'Immobilien-Kalkulation'!$B$70*12,0,IF(AND('Immobilien-Kalkulation'!$B$72=1,B520&gt;'Immobilien-Kalkulation'!$B$69),'Immobilien-Kalkulation'!$B$73,'Immobilien-Kalkulation'!$B$65))</f>
        <v>0</v>
      </c>
      <c r="D520" s="53">
        <f>IF(A520&gt;'Immobilien-Kalkulation'!$B$70*12,0,I519)</f>
        <v>0</v>
      </c>
      <c r="E520" s="53">
        <f>IF(OR(A520&gt;'Immobilien-Kalkulation'!$B$70*12,D520&lt;=0),0,IF(AND('Immobilien-Kalkulation'!$B$72=1,B520&gt;'Immobilien-Kalkulation'!$B$69),MIN(D520*C520/12+'Immobilien-Kalkulation'!$B$74/12,D520*(1+C520/12)),MIN('Immobilien-Kalkulation'!$B$67,D520*(1+C520/12))))</f>
        <v>0</v>
      </c>
      <c r="F520" s="53">
        <f>IF(OR(A520&gt;'Immobilien-Kalkulation'!$B$70*12,D520&lt;=0),0,D520*C520/12)</f>
        <v>0</v>
      </c>
      <c r="G520" s="53">
        <f>IF(OR(A520&gt;'Immobilien-Kalkulation'!$B$70*12,D520&lt;=0),0,MAX(0,MIN(D520,E520-F520)))</f>
        <v>0</v>
      </c>
      <c r="H520" s="95">
        <v>0</v>
      </c>
      <c r="I520" s="53">
        <f>IF(A520&gt;'Immobilien-Kalkulation'!$B$70*12,0,MAX(0,D520-G520-J520))</f>
        <v>0</v>
      </c>
      <c r="J520" s="53">
        <f>IF(OR(A520&gt;'Immobilien-Kalkulation'!$B$70*12,D520&lt;=0),0,MIN(H520,MAX(0,D520-G520)))</f>
        <v>0</v>
      </c>
    </row>
    <row r="521" spans="1:10" x14ac:dyDescent="0.25">
      <c r="A521">
        <v>518</v>
      </c>
      <c r="B521">
        <f t="shared" si="8"/>
        <v>44</v>
      </c>
      <c r="C521" s="28">
        <f>IF(A521&gt;'Immobilien-Kalkulation'!$B$70*12,0,IF(AND('Immobilien-Kalkulation'!$B$72=1,B521&gt;'Immobilien-Kalkulation'!$B$69),'Immobilien-Kalkulation'!$B$73,'Immobilien-Kalkulation'!$B$65))</f>
        <v>0</v>
      </c>
      <c r="D521" s="53">
        <f>IF(A521&gt;'Immobilien-Kalkulation'!$B$70*12,0,I520)</f>
        <v>0</v>
      </c>
      <c r="E521" s="53">
        <f>IF(OR(A521&gt;'Immobilien-Kalkulation'!$B$70*12,D521&lt;=0),0,IF(AND('Immobilien-Kalkulation'!$B$72=1,B521&gt;'Immobilien-Kalkulation'!$B$69),MIN(D521*C521/12+'Immobilien-Kalkulation'!$B$74/12,D521*(1+C521/12)),MIN('Immobilien-Kalkulation'!$B$67,D521*(1+C521/12))))</f>
        <v>0</v>
      </c>
      <c r="F521" s="53">
        <f>IF(OR(A521&gt;'Immobilien-Kalkulation'!$B$70*12,D521&lt;=0),0,D521*C521/12)</f>
        <v>0</v>
      </c>
      <c r="G521" s="53">
        <f>IF(OR(A521&gt;'Immobilien-Kalkulation'!$B$70*12,D521&lt;=0),0,MAX(0,MIN(D521,E521-F521)))</f>
        <v>0</v>
      </c>
      <c r="H521" s="95">
        <v>0</v>
      </c>
      <c r="I521" s="53">
        <f>IF(A521&gt;'Immobilien-Kalkulation'!$B$70*12,0,MAX(0,D521-G521-J521))</f>
        <v>0</v>
      </c>
      <c r="J521" s="53">
        <f>IF(OR(A521&gt;'Immobilien-Kalkulation'!$B$70*12,D521&lt;=0),0,MIN(H521,MAX(0,D521-G521)))</f>
        <v>0</v>
      </c>
    </row>
    <row r="522" spans="1:10" x14ac:dyDescent="0.25">
      <c r="A522">
        <v>519</v>
      </c>
      <c r="B522">
        <f t="shared" si="8"/>
        <v>44</v>
      </c>
      <c r="C522" s="28">
        <f>IF(A522&gt;'Immobilien-Kalkulation'!$B$70*12,0,IF(AND('Immobilien-Kalkulation'!$B$72=1,B522&gt;'Immobilien-Kalkulation'!$B$69),'Immobilien-Kalkulation'!$B$73,'Immobilien-Kalkulation'!$B$65))</f>
        <v>0</v>
      </c>
      <c r="D522" s="53">
        <f>IF(A522&gt;'Immobilien-Kalkulation'!$B$70*12,0,I521)</f>
        <v>0</v>
      </c>
      <c r="E522" s="53">
        <f>IF(OR(A522&gt;'Immobilien-Kalkulation'!$B$70*12,D522&lt;=0),0,IF(AND('Immobilien-Kalkulation'!$B$72=1,B522&gt;'Immobilien-Kalkulation'!$B$69),MIN(D522*C522/12+'Immobilien-Kalkulation'!$B$74/12,D522*(1+C522/12)),MIN('Immobilien-Kalkulation'!$B$67,D522*(1+C522/12))))</f>
        <v>0</v>
      </c>
      <c r="F522" s="53">
        <f>IF(OR(A522&gt;'Immobilien-Kalkulation'!$B$70*12,D522&lt;=0),0,D522*C522/12)</f>
        <v>0</v>
      </c>
      <c r="G522" s="53">
        <f>IF(OR(A522&gt;'Immobilien-Kalkulation'!$B$70*12,D522&lt;=0),0,MAX(0,MIN(D522,E522-F522)))</f>
        <v>0</v>
      </c>
      <c r="H522" s="95">
        <v>0</v>
      </c>
      <c r="I522" s="53">
        <f>IF(A522&gt;'Immobilien-Kalkulation'!$B$70*12,0,MAX(0,D522-G522-J522))</f>
        <v>0</v>
      </c>
      <c r="J522" s="53">
        <f>IF(OR(A522&gt;'Immobilien-Kalkulation'!$B$70*12,D522&lt;=0),0,MIN(H522,MAX(0,D522-G522)))</f>
        <v>0</v>
      </c>
    </row>
    <row r="523" spans="1:10" x14ac:dyDescent="0.25">
      <c r="A523">
        <v>520</v>
      </c>
      <c r="B523">
        <f t="shared" si="8"/>
        <v>44</v>
      </c>
      <c r="C523" s="28">
        <f>IF(A523&gt;'Immobilien-Kalkulation'!$B$70*12,0,IF(AND('Immobilien-Kalkulation'!$B$72=1,B523&gt;'Immobilien-Kalkulation'!$B$69),'Immobilien-Kalkulation'!$B$73,'Immobilien-Kalkulation'!$B$65))</f>
        <v>0</v>
      </c>
      <c r="D523" s="53">
        <f>IF(A523&gt;'Immobilien-Kalkulation'!$B$70*12,0,I522)</f>
        <v>0</v>
      </c>
      <c r="E523" s="53">
        <f>IF(OR(A523&gt;'Immobilien-Kalkulation'!$B$70*12,D523&lt;=0),0,IF(AND('Immobilien-Kalkulation'!$B$72=1,B523&gt;'Immobilien-Kalkulation'!$B$69),MIN(D523*C523/12+'Immobilien-Kalkulation'!$B$74/12,D523*(1+C523/12)),MIN('Immobilien-Kalkulation'!$B$67,D523*(1+C523/12))))</f>
        <v>0</v>
      </c>
      <c r="F523" s="53">
        <f>IF(OR(A523&gt;'Immobilien-Kalkulation'!$B$70*12,D523&lt;=0),0,D523*C523/12)</f>
        <v>0</v>
      </c>
      <c r="G523" s="53">
        <f>IF(OR(A523&gt;'Immobilien-Kalkulation'!$B$70*12,D523&lt;=0),0,MAX(0,MIN(D523,E523-F523)))</f>
        <v>0</v>
      </c>
      <c r="H523" s="95">
        <v>0</v>
      </c>
      <c r="I523" s="53">
        <f>IF(A523&gt;'Immobilien-Kalkulation'!$B$70*12,0,MAX(0,D523-G523-J523))</f>
        <v>0</v>
      </c>
      <c r="J523" s="53">
        <f>IF(OR(A523&gt;'Immobilien-Kalkulation'!$B$70*12,D523&lt;=0),0,MIN(H523,MAX(0,D523-G523)))</f>
        <v>0</v>
      </c>
    </row>
    <row r="524" spans="1:10" x14ac:dyDescent="0.25">
      <c r="A524">
        <v>521</v>
      </c>
      <c r="B524">
        <f t="shared" si="8"/>
        <v>44</v>
      </c>
      <c r="C524" s="28">
        <f>IF(A524&gt;'Immobilien-Kalkulation'!$B$70*12,0,IF(AND('Immobilien-Kalkulation'!$B$72=1,B524&gt;'Immobilien-Kalkulation'!$B$69),'Immobilien-Kalkulation'!$B$73,'Immobilien-Kalkulation'!$B$65))</f>
        <v>0</v>
      </c>
      <c r="D524" s="53">
        <f>IF(A524&gt;'Immobilien-Kalkulation'!$B$70*12,0,I523)</f>
        <v>0</v>
      </c>
      <c r="E524" s="53">
        <f>IF(OR(A524&gt;'Immobilien-Kalkulation'!$B$70*12,D524&lt;=0),0,IF(AND('Immobilien-Kalkulation'!$B$72=1,B524&gt;'Immobilien-Kalkulation'!$B$69),MIN(D524*C524/12+'Immobilien-Kalkulation'!$B$74/12,D524*(1+C524/12)),MIN('Immobilien-Kalkulation'!$B$67,D524*(1+C524/12))))</f>
        <v>0</v>
      </c>
      <c r="F524" s="53">
        <f>IF(OR(A524&gt;'Immobilien-Kalkulation'!$B$70*12,D524&lt;=0),0,D524*C524/12)</f>
        <v>0</v>
      </c>
      <c r="G524" s="53">
        <f>IF(OR(A524&gt;'Immobilien-Kalkulation'!$B$70*12,D524&lt;=0),0,MAX(0,MIN(D524,E524-F524)))</f>
        <v>0</v>
      </c>
      <c r="H524" s="95">
        <v>0</v>
      </c>
      <c r="I524" s="53">
        <f>IF(A524&gt;'Immobilien-Kalkulation'!$B$70*12,0,MAX(0,D524-G524-J524))</f>
        <v>0</v>
      </c>
      <c r="J524" s="53">
        <f>IF(OR(A524&gt;'Immobilien-Kalkulation'!$B$70*12,D524&lt;=0),0,MIN(H524,MAX(0,D524-G524)))</f>
        <v>0</v>
      </c>
    </row>
    <row r="525" spans="1:10" x14ac:dyDescent="0.25">
      <c r="A525">
        <v>522</v>
      </c>
      <c r="B525">
        <f t="shared" si="8"/>
        <v>44</v>
      </c>
      <c r="C525" s="28">
        <f>IF(A525&gt;'Immobilien-Kalkulation'!$B$70*12,0,IF(AND('Immobilien-Kalkulation'!$B$72=1,B525&gt;'Immobilien-Kalkulation'!$B$69),'Immobilien-Kalkulation'!$B$73,'Immobilien-Kalkulation'!$B$65))</f>
        <v>0</v>
      </c>
      <c r="D525" s="53">
        <f>IF(A525&gt;'Immobilien-Kalkulation'!$B$70*12,0,I524)</f>
        <v>0</v>
      </c>
      <c r="E525" s="53">
        <f>IF(OR(A525&gt;'Immobilien-Kalkulation'!$B$70*12,D525&lt;=0),0,IF(AND('Immobilien-Kalkulation'!$B$72=1,B525&gt;'Immobilien-Kalkulation'!$B$69),MIN(D525*C525/12+'Immobilien-Kalkulation'!$B$74/12,D525*(1+C525/12)),MIN('Immobilien-Kalkulation'!$B$67,D525*(1+C525/12))))</f>
        <v>0</v>
      </c>
      <c r="F525" s="53">
        <f>IF(OR(A525&gt;'Immobilien-Kalkulation'!$B$70*12,D525&lt;=0),0,D525*C525/12)</f>
        <v>0</v>
      </c>
      <c r="G525" s="53">
        <f>IF(OR(A525&gt;'Immobilien-Kalkulation'!$B$70*12,D525&lt;=0),0,MAX(0,MIN(D525,E525-F525)))</f>
        <v>0</v>
      </c>
      <c r="H525" s="95">
        <v>0</v>
      </c>
      <c r="I525" s="53">
        <f>IF(A525&gt;'Immobilien-Kalkulation'!$B$70*12,0,MAX(0,D525-G525-J525))</f>
        <v>0</v>
      </c>
      <c r="J525" s="53">
        <f>IF(OR(A525&gt;'Immobilien-Kalkulation'!$B$70*12,D525&lt;=0),0,MIN(H525,MAX(0,D525-G525)))</f>
        <v>0</v>
      </c>
    </row>
    <row r="526" spans="1:10" x14ac:dyDescent="0.25">
      <c r="A526">
        <v>523</v>
      </c>
      <c r="B526">
        <f t="shared" si="8"/>
        <v>44</v>
      </c>
      <c r="C526" s="28">
        <f>IF(A526&gt;'Immobilien-Kalkulation'!$B$70*12,0,IF(AND('Immobilien-Kalkulation'!$B$72=1,B526&gt;'Immobilien-Kalkulation'!$B$69),'Immobilien-Kalkulation'!$B$73,'Immobilien-Kalkulation'!$B$65))</f>
        <v>0</v>
      </c>
      <c r="D526" s="53">
        <f>IF(A526&gt;'Immobilien-Kalkulation'!$B$70*12,0,I525)</f>
        <v>0</v>
      </c>
      <c r="E526" s="53">
        <f>IF(OR(A526&gt;'Immobilien-Kalkulation'!$B$70*12,D526&lt;=0),0,IF(AND('Immobilien-Kalkulation'!$B$72=1,B526&gt;'Immobilien-Kalkulation'!$B$69),MIN(D526*C526/12+'Immobilien-Kalkulation'!$B$74/12,D526*(1+C526/12)),MIN('Immobilien-Kalkulation'!$B$67,D526*(1+C526/12))))</f>
        <v>0</v>
      </c>
      <c r="F526" s="53">
        <f>IF(OR(A526&gt;'Immobilien-Kalkulation'!$B$70*12,D526&lt;=0),0,D526*C526/12)</f>
        <v>0</v>
      </c>
      <c r="G526" s="53">
        <f>IF(OR(A526&gt;'Immobilien-Kalkulation'!$B$70*12,D526&lt;=0),0,MAX(0,MIN(D526,E526-F526)))</f>
        <v>0</v>
      </c>
      <c r="H526" s="95">
        <v>0</v>
      </c>
      <c r="I526" s="53">
        <f>IF(A526&gt;'Immobilien-Kalkulation'!$B$70*12,0,MAX(0,D526-G526-J526))</f>
        <v>0</v>
      </c>
      <c r="J526" s="53">
        <f>IF(OR(A526&gt;'Immobilien-Kalkulation'!$B$70*12,D526&lt;=0),0,MIN(H526,MAX(0,D526-G526)))</f>
        <v>0</v>
      </c>
    </row>
    <row r="527" spans="1:10" x14ac:dyDescent="0.25">
      <c r="A527">
        <v>524</v>
      </c>
      <c r="B527">
        <f t="shared" si="8"/>
        <v>44</v>
      </c>
      <c r="C527" s="28">
        <f>IF(A527&gt;'Immobilien-Kalkulation'!$B$70*12,0,IF(AND('Immobilien-Kalkulation'!$B$72=1,B527&gt;'Immobilien-Kalkulation'!$B$69),'Immobilien-Kalkulation'!$B$73,'Immobilien-Kalkulation'!$B$65))</f>
        <v>0</v>
      </c>
      <c r="D527" s="53">
        <f>IF(A527&gt;'Immobilien-Kalkulation'!$B$70*12,0,I526)</f>
        <v>0</v>
      </c>
      <c r="E527" s="53">
        <f>IF(OR(A527&gt;'Immobilien-Kalkulation'!$B$70*12,D527&lt;=0),0,IF(AND('Immobilien-Kalkulation'!$B$72=1,B527&gt;'Immobilien-Kalkulation'!$B$69),MIN(D527*C527/12+'Immobilien-Kalkulation'!$B$74/12,D527*(1+C527/12)),MIN('Immobilien-Kalkulation'!$B$67,D527*(1+C527/12))))</f>
        <v>0</v>
      </c>
      <c r="F527" s="53">
        <f>IF(OR(A527&gt;'Immobilien-Kalkulation'!$B$70*12,D527&lt;=0),0,D527*C527/12)</f>
        <v>0</v>
      </c>
      <c r="G527" s="53">
        <f>IF(OR(A527&gt;'Immobilien-Kalkulation'!$B$70*12,D527&lt;=0),0,MAX(0,MIN(D527,E527-F527)))</f>
        <v>0</v>
      </c>
      <c r="H527" s="95">
        <v>0</v>
      </c>
      <c r="I527" s="53">
        <f>IF(A527&gt;'Immobilien-Kalkulation'!$B$70*12,0,MAX(0,D527-G527-J527))</f>
        <v>0</v>
      </c>
      <c r="J527" s="53">
        <f>IF(OR(A527&gt;'Immobilien-Kalkulation'!$B$70*12,D527&lt;=0),0,MIN(H527,MAX(0,D527-G527)))</f>
        <v>0</v>
      </c>
    </row>
    <row r="528" spans="1:10" x14ac:dyDescent="0.25">
      <c r="A528">
        <v>525</v>
      </c>
      <c r="B528">
        <f t="shared" si="8"/>
        <v>44</v>
      </c>
      <c r="C528" s="28">
        <f>IF(A528&gt;'Immobilien-Kalkulation'!$B$70*12,0,IF(AND('Immobilien-Kalkulation'!$B$72=1,B528&gt;'Immobilien-Kalkulation'!$B$69),'Immobilien-Kalkulation'!$B$73,'Immobilien-Kalkulation'!$B$65))</f>
        <v>0</v>
      </c>
      <c r="D528" s="53">
        <f>IF(A528&gt;'Immobilien-Kalkulation'!$B$70*12,0,I527)</f>
        <v>0</v>
      </c>
      <c r="E528" s="53">
        <f>IF(OR(A528&gt;'Immobilien-Kalkulation'!$B$70*12,D528&lt;=0),0,IF(AND('Immobilien-Kalkulation'!$B$72=1,B528&gt;'Immobilien-Kalkulation'!$B$69),MIN(D528*C528/12+'Immobilien-Kalkulation'!$B$74/12,D528*(1+C528/12)),MIN('Immobilien-Kalkulation'!$B$67,D528*(1+C528/12))))</f>
        <v>0</v>
      </c>
      <c r="F528" s="53">
        <f>IF(OR(A528&gt;'Immobilien-Kalkulation'!$B$70*12,D528&lt;=0),0,D528*C528/12)</f>
        <v>0</v>
      </c>
      <c r="G528" s="53">
        <f>IF(OR(A528&gt;'Immobilien-Kalkulation'!$B$70*12,D528&lt;=0),0,MAX(0,MIN(D528,E528-F528)))</f>
        <v>0</v>
      </c>
      <c r="H528" s="95">
        <v>0</v>
      </c>
      <c r="I528" s="53">
        <f>IF(A528&gt;'Immobilien-Kalkulation'!$B$70*12,0,MAX(0,D528-G528-J528))</f>
        <v>0</v>
      </c>
      <c r="J528" s="53">
        <f>IF(OR(A528&gt;'Immobilien-Kalkulation'!$B$70*12,D528&lt;=0),0,MIN(H528,MAX(0,D528-G528)))</f>
        <v>0</v>
      </c>
    </row>
    <row r="529" spans="1:10" x14ac:dyDescent="0.25">
      <c r="A529">
        <v>526</v>
      </c>
      <c r="B529">
        <f t="shared" si="8"/>
        <v>44</v>
      </c>
      <c r="C529" s="28">
        <f>IF(A529&gt;'Immobilien-Kalkulation'!$B$70*12,0,IF(AND('Immobilien-Kalkulation'!$B$72=1,B529&gt;'Immobilien-Kalkulation'!$B$69),'Immobilien-Kalkulation'!$B$73,'Immobilien-Kalkulation'!$B$65))</f>
        <v>0</v>
      </c>
      <c r="D529" s="53">
        <f>IF(A529&gt;'Immobilien-Kalkulation'!$B$70*12,0,I528)</f>
        <v>0</v>
      </c>
      <c r="E529" s="53">
        <f>IF(OR(A529&gt;'Immobilien-Kalkulation'!$B$70*12,D529&lt;=0),0,IF(AND('Immobilien-Kalkulation'!$B$72=1,B529&gt;'Immobilien-Kalkulation'!$B$69),MIN(D529*C529/12+'Immobilien-Kalkulation'!$B$74/12,D529*(1+C529/12)),MIN('Immobilien-Kalkulation'!$B$67,D529*(1+C529/12))))</f>
        <v>0</v>
      </c>
      <c r="F529" s="53">
        <f>IF(OR(A529&gt;'Immobilien-Kalkulation'!$B$70*12,D529&lt;=0),0,D529*C529/12)</f>
        <v>0</v>
      </c>
      <c r="G529" s="53">
        <f>IF(OR(A529&gt;'Immobilien-Kalkulation'!$B$70*12,D529&lt;=0),0,MAX(0,MIN(D529,E529-F529)))</f>
        <v>0</v>
      </c>
      <c r="H529" s="95">
        <v>0</v>
      </c>
      <c r="I529" s="53">
        <f>IF(A529&gt;'Immobilien-Kalkulation'!$B$70*12,0,MAX(0,D529-G529-J529))</f>
        <v>0</v>
      </c>
      <c r="J529" s="53">
        <f>IF(OR(A529&gt;'Immobilien-Kalkulation'!$B$70*12,D529&lt;=0),0,MIN(H529,MAX(0,D529-G529)))</f>
        <v>0</v>
      </c>
    </row>
    <row r="530" spans="1:10" x14ac:dyDescent="0.25">
      <c r="A530">
        <v>527</v>
      </c>
      <c r="B530">
        <f t="shared" si="8"/>
        <v>44</v>
      </c>
      <c r="C530" s="28">
        <f>IF(A530&gt;'Immobilien-Kalkulation'!$B$70*12,0,IF(AND('Immobilien-Kalkulation'!$B$72=1,B530&gt;'Immobilien-Kalkulation'!$B$69),'Immobilien-Kalkulation'!$B$73,'Immobilien-Kalkulation'!$B$65))</f>
        <v>0</v>
      </c>
      <c r="D530" s="53">
        <f>IF(A530&gt;'Immobilien-Kalkulation'!$B$70*12,0,I529)</f>
        <v>0</v>
      </c>
      <c r="E530" s="53">
        <f>IF(OR(A530&gt;'Immobilien-Kalkulation'!$B$70*12,D530&lt;=0),0,IF(AND('Immobilien-Kalkulation'!$B$72=1,B530&gt;'Immobilien-Kalkulation'!$B$69),MIN(D530*C530/12+'Immobilien-Kalkulation'!$B$74/12,D530*(1+C530/12)),MIN('Immobilien-Kalkulation'!$B$67,D530*(1+C530/12))))</f>
        <v>0</v>
      </c>
      <c r="F530" s="53">
        <f>IF(OR(A530&gt;'Immobilien-Kalkulation'!$B$70*12,D530&lt;=0),0,D530*C530/12)</f>
        <v>0</v>
      </c>
      <c r="G530" s="53">
        <f>IF(OR(A530&gt;'Immobilien-Kalkulation'!$B$70*12,D530&lt;=0),0,MAX(0,MIN(D530,E530-F530)))</f>
        <v>0</v>
      </c>
      <c r="H530" s="95">
        <v>0</v>
      </c>
      <c r="I530" s="53">
        <f>IF(A530&gt;'Immobilien-Kalkulation'!$B$70*12,0,MAX(0,D530-G530-J530))</f>
        <v>0</v>
      </c>
      <c r="J530" s="53">
        <f>IF(OR(A530&gt;'Immobilien-Kalkulation'!$B$70*12,D530&lt;=0),0,MIN(H530,MAX(0,D530-G530)))</f>
        <v>0</v>
      </c>
    </row>
    <row r="531" spans="1:10" x14ac:dyDescent="0.25">
      <c r="A531">
        <v>528</v>
      </c>
      <c r="B531">
        <f t="shared" si="8"/>
        <v>44</v>
      </c>
      <c r="C531" s="28">
        <f>IF(A531&gt;'Immobilien-Kalkulation'!$B$70*12,0,IF(AND('Immobilien-Kalkulation'!$B$72=1,B531&gt;'Immobilien-Kalkulation'!$B$69),'Immobilien-Kalkulation'!$B$73,'Immobilien-Kalkulation'!$B$65))</f>
        <v>0</v>
      </c>
      <c r="D531" s="53">
        <f>IF(A531&gt;'Immobilien-Kalkulation'!$B$70*12,0,I530)</f>
        <v>0</v>
      </c>
      <c r="E531" s="53">
        <f>IF(OR(A531&gt;'Immobilien-Kalkulation'!$B$70*12,D531&lt;=0),0,IF(AND('Immobilien-Kalkulation'!$B$72=1,B531&gt;'Immobilien-Kalkulation'!$B$69),MIN(D531*C531/12+'Immobilien-Kalkulation'!$B$74/12,D531*(1+C531/12)),MIN('Immobilien-Kalkulation'!$B$67,D531*(1+C531/12))))</f>
        <v>0</v>
      </c>
      <c r="F531" s="53">
        <f>IF(OR(A531&gt;'Immobilien-Kalkulation'!$B$70*12,D531&lt;=0),0,D531*C531/12)</f>
        <v>0</v>
      </c>
      <c r="G531" s="53">
        <f>IF(OR(A531&gt;'Immobilien-Kalkulation'!$B$70*12,D531&lt;=0),0,MAX(0,MIN(D531,E531-F531)))</f>
        <v>0</v>
      </c>
      <c r="H531" s="95">
        <v>0</v>
      </c>
      <c r="I531" s="53">
        <f>IF(A531&gt;'Immobilien-Kalkulation'!$B$70*12,0,MAX(0,D531-G531-J531))</f>
        <v>0</v>
      </c>
      <c r="J531" s="53">
        <f>IF(OR(A531&gt;'Immobilien-Kalkulation'!$B$70*12,D531&lt;=0),0,MIN(H531,MAX(0,D531-G531)))</f>
        <v>0</v>
      </c>
    </row>
    <row r="532" spans="1:10" x14ac:dyDescent="0.25">
      <c r="A532">
        <v>529</v>
      </c>
      <c r="B532">
        <f t="shared" si="8"/>
        <v>45</v>
      </c>
      <c r="C532" s="28">
        <f>IF(A532&gt;'Immobilien-Kalkulation'!$B$70*12,0,IF(AND('Immobilien-Kalkulation'!$B$72=1,B532&gt;'Immobilien-Kalkulation'!$B$69),'Immobilien-Kalkulation'!$B$73,'Immobilien-Kalkulation'!$B$65))</f>
        <v>0</v>
      </c>
      <c r="D532" s="53">
        <f>IF(A532&gt;'Immobilien-Kalkulation'!$B$70*12,0,I531)</f>
        <v>0</v>
      </c>
      <c r="E532" s="53">
        <f>IF(OR(A532&gt;'Immobilien-Kalkulation'!$B$70*12,D532&lt;=0),0,IF(AND('Immobilien-Kalkulation'!$B$72=1,B532&gt;'Immobilien-Kalkulation'!$B$69),MIN(D532*C532/12+'Immobilien-Kalkulation'!$B$74/12,D532*(1+C532/12)),MIN('Immobilien-Kalkulation'!$B$67,D532*(1+C532/12))))</f>
        <v>0</v>
      </c>
      <c r="F532" s="53">
        <f>IF(OR(A532&gt;'Immobilien-Kalkulation'!$B$70*12,D532&lt;=0),0,D532*C532/12)</f>
        <v>0</v>
      </c>
      <c r="G532" s="53">
        <f>IF(OR(A532&gt;'Immobilien-Kalkulation'!$B$70*12,D532&lt;=0),0,MAX(0,MIN(D532,E532-F532)))</f>
        <v>0</v>
      </c>
      <c r="H532" s="95">
        <v>0</v>
      </c>
      <c r="I532" s="53">
        <f>IF(A532&gt;'Immobilien-Kalkulation'!$B$70*12,0,MAX(0,D532-G532-J532))</f>
        <v>0</v>
      </c>
      <c r="J532" s="53">
        <f>IF(OR(A532&gt;'Immobilien-Kalkulation'!$B$70*12,D532&lt;=0),0,MIN(H532,MAX(0,D532-G532)))</f>
        <v>0</v>
      </c>
    </row>
    <row r="533" spans="1:10" x14ac:dyDescent="0.25">
      <c r="A533">
        <v>530</v>
      </c>
      <c r="B533">
        <f t="shared" si="8"/>
        <v>45</v>
      </c>
      <c r="C533" s="28">
        <f>IF(A533&gt;'Immobilien-Kalkulation'!$B$70*12,0,IF(AND('Immobilien-Kalkulation'!$B$72=1,B533&gt;'Immobilien-Kalkulation'!$B$69),'Immobilien-Kalkulation'!$B$73,'Immobilien-Kalkulation'!$B$65))</f>
        <v>0</v>
      </c>
      <c r="D533" s="53">
        <f>IF(A533&gt;'Immobilien-Kalkulation'!$B$70*12,0,I532)</f>
        <v>0</v>
      </c>
      <c r="E533" s="53">
        <f>IF(OR(A533&gt;'Immobilien-Kalkulation'!$B$70*12,D533&lt;=0),0,IF(AND('Immobilien-Kalkulation'!$B$72=1,B533&gt;'Immobilien-Kalkulation'!$B$69),MIN(D533*C533/12+'Immobilien-Kalkulation'!$B$74/12,D533*(1+C533/12)),MIN('Immobilien-Kalkulation'!$B$67,D533*(1+C533/12))))</f>
        <v>0</v>
      </c>
      <c r="F533" s="53">
        <f>IF(OR(A533&gt;'Immobilien-Kalkulation'!$B$70*12,D533&lt;=0),0,D533*C533/12)</f>
        <v>0</v>
      </c>
      <c r="G533" s="53">
        <f>IF(OR(A533&gt;'Immobilien-Kalkulation'!$B$70*12,D533&lt;=0),0,MAX(0,MIN(D533,E533-F533)))</f>
        <v>0</v>
      </c>
      <c r="H533" s="95">
        <v>0</v>
      </c>
      <c r="I533" s="53">
        <f>IF(A533&gt;'Immobilien-Kalkulation'!$B$70*12,0,MAX(0,D533-G533-J533))</f>
        <v>0</v>
      </c>
      <c r="J533" s="53">
        <f>IF(OR(A533&gt;'Immobilien-Kalkulation'!$B$70*12,D533&lt;=0),0,MIN(H533,MAX(0,D533-G533)))</f>
        <v>0</v>
      </c>
    </row>
    <row r="534" spans="1:10" x14ac:dyDescent="0.25">
      <c r="A534">
        <v>531</v>
      </c>
      <c r="B534">
        <f t="shared" si="8"/>
        <v>45</v>
      </c>
      <c r="C534" s="28">
        <f>IF(A534&gt;'Immobilien-Kalkulation'!$B$70*12,0,IF(AND('Immobilien-Kalkulation'!$B$72=1,B534&gt;'Immobilien-Kalkulation'!$B$69),'Immobilien-Kalkulation'!$B$73,'Immobilien-Kalkulation'!$B$65))</f>
        <v>0</v>
      </c>
      <c r="D534" s="53">
        <f>IF(A534&gt;'Immobilien-Kalkulation'!$B$70*12,0,I533)</f>
        <v>0</v>
      </c>
      <c r="E534" s="53">
        <f>IF(OR(A534&gt;'Immobilien-Kalkulation'!$B$70*12,D534&lt;=0),0,IF(AND('Immobilien-Kalkulation'!$B$72=1,B534&gt;'Immobilien-Kalkulation'!$B$69),MIN(D534*C534/12+'Immobilien-Kalkulation'!$B$74/12,D534*(1+C534/12)),MIN('Immobilien-Kalkulation'!$B$67,D534*(1+C534/12))))</f>
        <v>0</v>
      </c>
      <c r="F534" s="53">
        <f>IF(OR(A534&gt;'Immobilien-Kalkulation'!$B$70*12,D534&lt;=0),0,D534*C534/12)</f>
        <v>0</v>
      </c>
      <c r="G534" s="53">
        <f>IF(OR(A534&gt;'Immobilien-Kalkulation'!$B$70*12,D534&lt;=0),0,MAX(0,MIN(D534,E534-F534)))</f>
        <v>0</v>
      </c>
      <c r="H534" s="95">
        <v>0</v>
      </c>
      <c r="I534" s="53">
        <f>IF(A534&gt;'Immobilien-Kalkulation'!$B$70*12,0,MAX(0,D534-G534-J534))</f>
        <v>0</v>
      </c>
      <c r="J534" s="53">
        <f>IF(OR(A534&gt;'Immobilien-Kalkulation'!$B$70*12,D534&lt;=0),0,MIN(H534,MAX(0,D534-G534)))</f>
        <v>0</v>
      </c>
    </row>
    <row r="535" spans="1:10" x14ac:dyDescent="0.25">
      <c r="A535">
        <v>532</v>
      </c>
      <c r="B535">
        <f t="shared" si="8"/>
        <v>45</v>
      </c>
      <c r="C535" s="28">
        <f>IF(A535&gt;'Immobilien-Kalkulation'!$B$70*12,0,IF(AND('Immobilien-Kalkulation'!$B$72=1,B535&gt;'Immobilien-Kalkulation'!$B$69),'Immobilien-Kalkulation'!$B$73,'Immobilien-Kalkulation'!$B$65))</f>
        <v>0</v>
      </c>
      <c r="D535" s="53">
        <f>IF(A535&gt;'Immobilien-Kalkulation'!$B$70*12,0,I534)</f>
        <v>0</v>
      </c>
      <c r="E535" s="53">
        <f>IF(OR(A535&gt;'Immobilien-Kalkulation'!$B$70*12,D535&lt;=0),0,IF(AND('Immobilien-Kalkulation'!$B$72=1,B535&gt;'Immobilien-Kalkulation'!$B$69),MIN(D535*C535/12+'Immobilien-Kalkulation'!$B$74/12,D535*(1+C535/12)),MIN('Immobilien-Kalkulation'!$B$67,D535*(1+C535/12))))</f>
        <v>0</v>
      </c>
      <c r="F535" s="53">
        <f>IF(OR(A535&gt;'Immobilien-Kalkulation'!$B$70*12,D535&lt;=0),0,D535*C535/12)</f>
        <v>0</v>
      </c>
      <c r="G535" s="53">
        <f>IF(OR(A535&gt;'Immobilien-Kalkulation'!$B$70*12,D535&lt;=0),0,MAX(0,MIN(D535,E535-F535)))</f>
        <v>0</v>
      </c>
      <c r="H535" s="95">
        <v>0</v>
      </c>
      <c r="I535" s="53">
        <f>IF(A535&gt;'Immobilien-Kalkulation'!$B$70*12,0,MAX(0,D535-G535-J535))</f>
        <v>0</v>
      </c>
      <c r="J535" s="53">
        <f>IF(OR(A535&gt;'Immobilien-Kalkulation'!$B$70*12,D535&lt;=0),0,MIN(H535,MAX(0,D535-G535)))</f>
        <v>0</v>
      </c>
    </row>
    <row r="536" spans="1:10" x14ac:dyDescent="0.25">
      <c r="A536">
        <v>533</v>
      </c>
      <c r="B536">
        <f t="shared" si="8"/>
        <v>45</v>
      </c>
      <c r="C536" s="28">
        <f>IF(A536&gt;'Immobilien-Kalkulation'!$B$70*12,0,IF(AND('Immobilien-Kalkulation'!$B$72=1,B536&gt;'Immobilien-Kalkulation'!$B$69),'Immobilien-Kalkulation'!$B$73,'Immobilien-Kalkulation'!$B$65))</f>
        <v>0</v>
      </c>
      <c r="D536" s="53">
        <f>IF(A536&gt;'Immobilien-Kalkulation'!$B$70*12,0,I535)</f>
        <v>0</v>
      </c>
      <c r="E536" s="53">
        <f>IF(OR(A536&gt;'Immobilien-Kalkulation'!$B$70*12,D536&lt;=0),0,IF(AND('Immobilien-Kalkulation'!$B$72=1,B536&gt;'Immobilien-Kalkulation'!$B$69),MIN(D536*C536/12+'Immobilien-Kalkulation'!$B$74/12,D536*(1+C536/12)),MIN('Immobilien-Kalkulation'!$B$67,D536*(1+C536/12))))</f>
        <v>0</v>
      </c>
      <c r="F536" s="53">
        <f>IF(OR(A536&gt;'Immobilien-Kalkulation'!$B$70*12,D536&lt;=0),0,D536*C536/12)</f>
        <v>0</v>
      </c>
      <c r="G536" s="53">
        <f>IF(OR(A536&gt;'Immobilien-Kalkulation'!$B$70*12,D536&lt;=0),0,MAX(0,MIN(D536,E536-F536)))</f>
        <v>0</v>
      </c>
      <c r="H536" s="95">
        <v>0</v>
      </c>
      <c r="I536" s="53">
        <f>IF(A536&gt;'Immobilien-Kalkulation'!$B$70*12,0,MAX(0,D536-G536-J536))</f>
        <v>0</v>
      </c>
      <c r="J536" s="53">
        <f>IF(OR(A536&gt;'Immobilien-Kalkulation'!$B$70*12,D536&lt;=0),0,MIN(H536,MAX(0,D536-G536)))</f>
        <v>0</v>
      </c>
    </row>
    <row r="537" spans="1:10" x14ac:dyDescent="0.25">
      <c r="A537">
        <v>534</v>
      </c>
      <c r="B537">
        <f t="shared" si="8"/>
        <v>45</v>
      </c>
      <c r="C537" s="28">
        <f>IF(A537&gt;'Immobilien-Kalkulation'!$B$70*12,0,IF(AND('Immobilien-Kalkulation'!$B$72=1,B537&gt;'Immobilien-Kalkulation'!$B$69),'Immobilien-Kalkulation'!$B$73,'Immobilien-Kalkulation'!$B$65))</f>
        <v>0</v>
      </c>
      <c r="D537" s="53">
        <f>IF(A537&gt;'Immobilien-Kalkulation'!$B$70*12,0,I536)</f>
        <v>0</v>
      </c>
      <c r="E537" s="53">
        <f>IF(OR(A537&gt;'Immobilien-Kalkulation'!$B$70*12,D537&lt;=0),0,IF(AND('Immobilien-Kalkulation'!$B$72=1,B537&gt;'Immobilien-Kalkulation'!$B$69),MIN(D537*C537/12+'Immobilien-Kalkulation'!$B$74/12,D537*(1+C537/12)),MIN('Immobilien-Kalkulation'!$B$67,D537*(1+C537/12))))</f>
        <v>0</v>
      </c>
      <c r="F537" s="53">
        <f>IF(OR(A537&gt;'Immobilien-Kalkulation'!$B$70*12,D537&lt;=0),0,D537*C537/12)</f>
        <v>0</v>
      </c>
      <c r="G537" s="53">
        <f>IF(OR(A537&gt;'Immobilien-Kalkulation'!$B$70*12,D537&lt;=0),0,MAX(0,MIN(D537,E537-F537)))</f>
        <v>0</v>
      </c>
      <c r="H537" s="95">
        <v>0</v>
      </c>
      <c r="I537" s="53">
        <f>IF(A537&gt;'Immobilien-Kalkulation'!$B$70*12,0,MAX(0,D537-G537-J537))</f>
        <v>0</v>
      </c>
      <c r="J537" s="53">
        <f>IF(OR(A537&gt;'Immobilien-Kalkulation'!$B$70*12,D537&lt;=0),0,MIN(H537,MAX(0,D537-G537)))</f>
        <v>0</v>
      </c>
    </row>
    <row r="538" spans="1:10" x14ac:dyDescent="0.25">
      <c r="A538">
        <v>535</v>
      </c>
      <c r="B538">
        <f t="shared" si="8"/>
        <v>45</v>
      </c>
      <c r="C538" s="28">
        <f>IF(A538&gt;'Immobilien-Kalkulation'!$B$70*12,0,IF(AND('Immobilien-Kalkulation'!$B$72=1,B538&gt;'Immobilien-Kalkulation'!$B$69),'Immobilien-Kalkulation'!$B$73,'Immobilien-Kalkulation'!$B$65))</f>
        <v>0</v>
      </c>
      <c r="D538" s="53">
        <f>IF(A538&gt;'Immobilien-Kalkulation'!$B$70*12,0,I537)</f>
        <v>0</v>
      </c>
      <c r="E538" s="53">
        <f>IF(OR(A538&gt;'Immobilien-Kalkulation'!$B$70*12,D538&lt;=0),0,IF(AND('Immobilien-Kalkulation'!$B$72=1,B538&gt;'Immobilien-Kalkulation'!$B$69),MIN(D538*C538/12+'Immobilien-Kalkulation'!$B$74/12,D538*(1+C538/12)),MIN('Immobilien-Kalkulation'!$B$67,D538*(1+C538/12))))</f>
        <v>0</v>
      </c>
      <c r="F538" s="53">
        <f>IF(OR(A538&gt;'Immobilien-Kalkulation'!$B$70*12,D538&lt;=0),0,D538*C538/12)</f>
        <v>0</v>
      </c>
      <c r="G538" s="53">
        <f>IF(OR(A538&gt;'Immobilien-Kalkulation'!$B$70*12,D538&lt;=0),0,MAX(0,MIN(D538,E538-F538)))</f>
        <v>0</v>
      </c>
      <c r="H538" s="95">
        <v>0</v>
      </c>
      <c r="I538" s="53">
        <f>IF(A538&gt;'Immobilien-Kalkulation'!$B$70*12,0,MAX(0,D538-G538-J538))</f>
        <v>0</v>
      </c>
      <c r="J538" s="53">
        <f>IF(OR(A538&gt;'Immobilien-Kalkulation'!$B$70*12,D538&lt;=0),0,MIN(H538,MAX(0,D538-G538)))</f>
        <v>0</v>
      </c>
    </row>
    <row r="539" spans="1:10" x14ac:dyDescent="0.25">
      <c r="A539">
        <v>536</v>
      </c>
      <c r="B539">
        <f t="shared" si="8"/>
        <v>45</v>
      </c>
      <c r="C539" s="28">
        <f>IF(A539&gt;'Immobilien-Kalkulation'!$B$70*12,0,IF(AND('Immobilien-Kalkulation'!$B$72=1,B539&gt;'Immobilien-Kalkulation'!$B$69),'Immobilien-Kalkulation'!$B$73,'Immobilien-Kalkulation'!$B$65))</f>
        <v>0</v>
      </c>
      <c r="D539" s="53">
        <f>IF(A539&gt;'Immobilien-Kalkulation'!$B$70*12,0,I538)</f>
        <v>0</v>
      </c>
      <c r="E539" s="53">
        <f>IF(OR(A539&gt;'Immobilien-Kalkulation'!$B$70*12,D539&lt;=0),0,IF(AND('Immobilien-Kalkulation'!$B$72=1,B539&gt;'Immobilien-Kalkulation'!$B$69),MIN(D539*C539/12+'Immobilien-Kalkulation'!$B$74/12,D539*(1+C539/12)),MIN('Immobilien-Kalkulation'!$B$67,D539*(1+C539/12))))</f>
        <v>0</v>
      </c>
      <c r="F539" s="53">
        <f>IF(OR(A539&gt;'Immobilien-Kalkulation'!$B$70*12,D539&lt;=0),0,D539*C539/12)</f>
        <v>0</v>
      </c>
      <c r="G539" s="53">
        <f>IF(OR(A539&gt;'Immobilien-Kalkulation'!$B$70*12,D539&lt;=0),0,MAX(0,MIN(D539,E539-F539)))</f>
        <v>0</v>
      </c>
      <c r="H539" s="95">
        <v>0</v>
      </c>
      <c r="I539" s="53">
        <f>IF(A539&gt;'Immobilien-Kalkulation'!$B$70*12,0,MAX(0,D539-G539-J539))</f>
        <v>0</v>
      </c>
      <c r="J539" s="53">
        <f>IF(OR(A539&gt;'Immobilien-Kalkulation'!$B$70*12,D539&lt;=0),0,MIN(H539,MAX(0,D539-G539)))</f>
        <v>0</v>
      </c>
    </row>
    <row r="540" spans="1:10" x14ac:dyDescent="0.25">
      <c r="A540">
        <v>537</v>
      </c>
      <c r="B540">
        <f t="shared" si="8"/>
        <v>45</v>
      </c>
      <c r="C540" s="28">
        <f>IF(A540&gt;'Immobilien-Kalkulation'!$B$70*12,0,IF(AND('Immobilien-Kalkulation'!$B$72=1,B540&gt;'Immobilien-Kalkulation'!$B$69),'Immobilien-Kalkulation'!$B$73,'Immobilien-Kalkulation'!$B$65))</f>
        <v>0</v>
      </c>
      <c r="D540" s="53">
        <f>IF(A540&gt;'Immobilien-Kalkulation'!$B$70*12,0,I539)</f>
        <v>0</v>
      </c>
      <c r="E540" s="53">
        <f>IF(OR(A540&gt;'Immobilien-Kalkulation'!$B$70*12,D540&lt;=0),0,IF(AND('Immobilien-Kalkulation'!$B$72=1,B540&gt;'Immobilien-Kalkulation'!$B$69),MIN(D540*C540/12+'Immobilien-Kalkulation'!$B$74/12,D540*(1+C540/12)),MIN('Immobilien-Kalkulation'!$B$67,D540*(1+C540/12))))</f>
        <v>0</v>
      </c>
      <c r="F540" s="53">
        <f>IF(OR(A540&gt;'Immobilien-Kalkulation'!$B$70*12,D540&lt;=0),0,D540*C540/12)</f>
        <v>0</v>
      </c>
      <c r="G540" s="53">
        <f>IF(OR(A540&gt;'Immobilien-Kalkulation'!$B$70*12,D540&lt;=0),0,MAX(0,MIN(D540,E540-F540)))</f>
        <v>0</v>
      </c>
      <c r="H540" s="95">
        <v>0</v>
      </c>
      <c r="I540" s="53">
        <f>IF(A540&gt;'Immobilien-Kalkulation'!$B$70*12,0,MAX(0,D540-G540-J540))</f>
        <v>0</v>
      </c>
      <c r="J540" s="53">
        <f>IF(OR(A540&gt;'Immobilien-Kalkulation'!$B$70*12,D540&lt;=0),0,MIN(H540,MAX(0,D540-G540)))</f>
        <v>0</v>
      </c>
    </row>
    <row r="541" spans="1:10" x14ac:dyDescent="0.25">
      <c r="A541">
        <v>538</v>
      </c>
      <c r="B541">
        <f t="shared" si="8"/>
        <v>45</v>
      </c>
      <c r="C541" s="28">
        <f>IF(A541&gt;'Immobilien-Kalkulation'!$B$70*12,0,IF(AND('Immobilien-Kalkulation'!$B$72=1,B541&gt;'Immobilien-Kalkulation'!$B$69),'Immobilien-Kalkulation'!$B$73,'Immobilien-Kalkulation'!$B$65))</f>
        <v>0</v>
      </c>
      <c r="D541" s="53">
        <f>IF(A541&gt;'Immobilien-Kalkulation'!$B$70*12,0,I540)</f>
        <v>0</v>
      </c>
      <c r="E541" s="53">
        <f>IF(OR(A541&gt;'Immobilien-Kalkulation'!$B$70*12,D541&lt;=0),0,IF(AND('Immobilien-Kalkulation'!$B$72=1,B541&gt;'Immobilien-Kalkulation'!$B$69),MIN(D541*C541/12+'Immobilien-Kalkulation'!$B$74/12,D541*(1+C541/12)),MIN('Immobilien-Kalkulation'!$B$67,D541*(1+C541/12))))</f>
        <v>0</v>
      </c>
      <c r="F541" s="53">
        <f>IF(OR(A541&gt;'Immobilien-Kalkulation'!$B$70*12,D541&lt;=0),0,D541*C541/12)</f>
        <v>0</v>
      </c>
      <c r="G541" s="53">
        <f>IF(OR(A541&gt;'Immobilien-Kalkulation'!$B$70*12,D541&lt;=0),0,MAX(0,MIN(D541,E541-F541)))</f>
        <v>0</v>
      </c>
      <c r="H541" s="95">
        <v>0</v>
      </c>
      <c r="I541" s="53">
        <f>IF(A541&gt;'Immobilien-Kalkulation'!$B$70*12,0,MAX(0,D541-G541-J541))</f>
        <v>0</v>
      </c>
      <c r="J541" s="53">
        <f>IF(OR(A541&gt;'Immobilien-Kalkulation'!$B$70*12,D541&lt;=0),0,MIN(H541,MAX(0,D541-G541)))</f>
        <v>0</v>
      </c>
    </row>
    <row r="542" spans="1:10" x14ac:dyDescent="0.25">
      <c r="A542">
        <v>539</v>
      </c>
      <c r="B542">
        <f t="shared" si="8"/>
        <v>45</v>
      </c>
      <c r="C542" s="28">
        <f>IF(A542&gt;'Immobilien-Kalkulation'!$B$70*12,0,IF(AND('Immobilien-Kalkulation'!$B$72=1,B542&gt;'Immobilien-Kalkulation'!$B$69),'Immobilien-Kalkulation'!$B$73,'Immobilien-Kalkulation'!$B$65))</f>
        <v>0</v>
      </c>
      <c r="D542" s="53">
        <f>IF(A542&gt;'Immobilien-Kalkulation'!$B$70*12,0,I541)</f>
        <v>0</v>
      </c>
      <c r="E542" s="53">
        <f>IF(OR(A542&gt;'Immobilien-Kalkulation'!$B$70*12,D542&lt;=0),0,IF(AND('Immobilien-Kalkulation'!$B$72=1,B542&gt;'Immobilien-Kalkulation'!$B$69),MIN(D542*C542/12+'Immobilien-Kalkulation'!$B$74/12,D542*(1+C542/12)),MIN('Immobilien-Kalkulation'!$B$67,D542*(1+C542/12))))</f>
        <v>0</v>
      </c>
      <c r="F542" s="53">
        <f>IF(OR(A542&gt;'Immobilien-Kalkulation'!$B$70*12,D542&lt;=0),0,D542*C542/12)</f>
        <v>0</v>
      </c>
      <c r="G542" s="53">
        <f>IF(OR(A542&gt;'Immobilien-Kalkulation'!$B$70*12,D542&lt;=0),0,MAX(0,MIN(D542,E542-F542)))</f>
        <v>0</v>
      </c>
      <c r="H542" s="95">
        <v>0</v>
      </c>
      <c r="I542" s="53">
        <f>IF(A542&gt;'Immobilien-Kalkulation'!$B$70*12,0,MAX(0,D542-G542-J542))</f>
        <v>0</v>
      </c>
      <c r="J542" s="53">
        <f>IF(OR(A542&gt;'Immobilien-Kalkulation'!$B$70*12,D542&lt;=0),0,MIN(H542,MAX(0,D542-G542)))</f>
        <v>0</v>
      </c>
    </row>
    <row r="543" spans="1:10" x14ac:dyDescent="0.25">
      <c r="A543">
        <v>540</v>
      </c>
      <c r="B543">
        <f t="shared" si="8"/>
        <v>45</v>
      </c>
      <c r="C543" s="28">
        <f>IF(A543&gt;'Immobilien-Kalkulation'!$B$70*12,0,IF(AND('Immobilien-Kalkulation'!$B$72=1,B543&gt;'Immobilien-Kalkulation'!$B$69),'Immobilien-Kalkulation'!$B$73,'Immobilien-Kalkulation'!$B$65))</f>
        <v>0</v>
      </c>
      <c r="D543" s="53">
        <f>IF(A543&gt;'Immobilien-Kalkulation'!$B$70*12,0,I542)</f>
        <v>0</v>
      </c>
      <c r="E543" s="53">
        <f>IF(OR(A543&gt;'Immobilien-Kalkulation'!$B$70*12,D543&lt;=0),0,IF(AND('Immobilien-Kalkulation'!$B$72=1,B543&gt;'Immobilien-Kalkulation'!$B$69),MIN(D543*C543/12+'Immobilien-Kalkulation'!$B$74/12,D543*(1+C543/12)),MIN('Immobilien-Kalkulation'!$B$67,D543*(1+C543/12))))</f>
        <v>0</v>
      </c>
      <c r="F543" s="53">
        <f>IF(OR(A543&gt;'Immobilien-Kalkulation'!$B$70*12,D543&lt;=0),0,D543*C543/12)</f>
        <v>0</v>
      </c>
      <c r="G543" s="53">
        <f>IF(OR(A543&gt;'Immobilien-Kalkulation'!$B$70*12,D543&lt;=0),0,MAX(0,MIN(D543,E543-F543)))</f>
        <v>0</v>
      </c>
      <c r="H543" s="95">
        <v>0</v>
      </c>
      <c r="I543" s="53">
        <f>IF(A543&gt;'Immobilien-Kalkulation'!$B$70*12,0,MAX(0,D543-G543-J543))</f>
        <v>0</v>
      </c>
      <c r="J543" s="53">
        <f>IF(OR(A543&gt;'Immobilien-Kalkulation'!$B$70*12,D543&lt;=0),0,MIN(H543,MAX(0,D543-G543)))</f>
        <v>0</v>
      </c>
    </row>
    <row r="544" spans="1:10" x14ac:dyDescent="0.25">
      <c r="A544">
        <v>541</v>
      </c>
      <c r="B544">
        <f t="shared" si="8"/>
        <v>46</v>
      </c>
      <c r="C544" s="28">
        <f>IF(A544&gt;'Immobilien-Kalkulation'!$B$70*12,0,IF(AND('Immobilien-Kalkulation'!$B$72=1,B544&gt;'Immobilien-Kalkulation'!$B$69),'Immobilien-Kalkulation'!$B$73,'Immobilien-Kalkulation'!$B$65))</f>
        <v>0</v>
      </c>
      <c r="D544" s="53">
        <f>IF(A544&gt;'Immobilien-Kalkulation'!$B$70*12,0,I543)</f>
        <v>0</v>
      </c>
      <c r="E544" s="53">
        <f>IF(OR(A544&gt;'Immobilien-Kalkulation'!$B$70*12,D544&lt;=0),0,IF(AND('Immobilien-Kalkulation'!$B$72=1,B544&gt;'Immobilien-Kalkulation'!$B$69),MIN(D544*C544/12+'Immobilien-Kalkulation'!$B$74/12,D544*(1+C544/12)),MIN('Immobilien-Kalkulation'!$B$67,D544*(1+C544/12))))</f>
        <v>0</v>
      </c>
      <c r="F544" s="53">
        <f>IF(OR(A544&gt;'Immobilien-Kalkulation'!$B$70*12,D544&lt;=0),0,D544*C544/12)</f>
        <v>0</v>
      </c>
      <c r="G544" s="53">
        <f>IF(OR(A544&gt;'Immobilien-Kalkulation'!$B$70*12,D544&lt;=0),0,MAX(0,MIN(D544,E544-F544)))</f>
        <v>0</v>
      </c>
      <c r="H544" s="95">
        <v>0</v>
      </c>
      <c r="I544" s="53">
        <f>IF(A544&gt;'Immobilien-Kalkulation'!$B$70*12,0,MAX(0,D544-G544-J544))</f>
        <v>0</v>
      </c>
      <c r="J544" s="53">
        <f>IF(OR(A544&gt;'Immobilien-Kalkulation'!$B$70*12,D544&lt;=0),0,MIN(H544,MAX(0,D544-G544)))</f>
        <v>0</v>
      </c>
    </row>
    <row r="545" spans="1:10" x14ac:dyDescent="0.25">
      <c r="A545">
        <v>542</v>
      </c>
      <c r="B545">
        <f t="shared" si="8"/>
        <v>46</v>
      </c>
      <c r="C545" s="28">
        <f>IF(A545&gt;'Immobilien-Kalkulation'!$B$70*12,0,IF(AND('Immobilien-Kalkulation'!$B$72=1,B545&gt;'Immobilien-Kalkulation'!$B$69),'Immobilien-Kalkulation'!$B$73,'Immobilien-Kalkulation'!$B$65))</f>
        <v>0</v>
      </c>
      <c r="D545" s="53">
        <f>IF(A545&gt;'Immobilien-Kalkulation'!$B$70*12,0,I544)</f>
        <v>0</v>
      </c>
      <c r="E545" s="53">
        <f>IF(OR(A545&gt;'Immobilien-Kalkulation'!$B$70*12,D545&lt;=0),0,IF(AND('Immobilien-Kalkulation'!$B$72=1,B545&gt;'Immobilien-Kalkulation'!$B$69),MIN(D545*C545/12+'Immobilien-Kalkulation'!$B$74/12,D545*(1+C545/12)),MIN('Immobilien-Kalkulation'!$B$67,D545*(1+C545/12))))</f>
        <v>0</v>
      </c>
      <c r="F545" s="53">
        <f>IF(OR(A545&gt;'Immobilien-Kalkulation'!$B$70*12,D545&lt;=0),0,D545*C545/12)</f>
        <v>0</v>
      </c>
      <c r="G545" s="53">
        <f>IF(OR(A545&gt;'Immobilien-Kalkulation'!$B$70*12,D545&lt;=0),0,MAX(0,MIN(D545,E545-F545)))</f>
        <v>0</v>
      </c>
      <c r="H545" s="95">
        <v>0</v>
      </c>
      <c r="I545" s="53">
        <f>IF(A545&gt;'Immobilien-Kalkulation'!$B$70*12,0,MAX(0,D545-G545-J545))</f>
        <v>0</v>
      </c>
      <c r="J545" s="53">
        <f>IF(OR(A545&gt;'Immobilien-Kalkulation'!$B$70*12,D545&lt;=0),0,MIN(H545,MAX(0,D545-G545)))</f>
        <v>0</v>
      </c>
    </row>
    <row r="546" spans="1:10" x14ac:dyDescent="0.25">
      <c r="A546">
        <v>543</v>
      </c>
      <c r="B546">
        <f t="shared" si="8"/>
        <v>46</v>
      </c>
      <c r="C546" s="28">
        <f>IF(A546&gt;'Immobilien-Kalkulation'!$B$70*12,0,IF(AND('Immobilien-Kalkulation'!$B$72=1,B546&gt;'Immobilien-Kalkulation'!$B$69),'Immobilien-Kalkulation'!$B$73,'Immobilien-Kalkulation'!$B$65))</f>
        <v>0</v>
      </c>
      <c r="D546" s="53">
        <f>IF(A546&gt;'Immobilien-Kalkulation'!$B$70*12,0,I545)</f>
        <v>0</v>
      </c>
      <c r="E546" s="53">
        <f>IF(OR(A546&gt;'Immobilien-Kalkulation'!$B$70*12,D546&lt;=0),0,IF(AND('Immobilien-Kalkulation'!$B$72=1,B546&gt;'Immobilien-Kalkulation'!$B$69),MIN(D546*C546/12+'Immobilien-Kalkulation'!$B$74/12,D546*(1+C546/12)),MIN('Immobilien-Kalkulation'!$B$67,D546*(1+C546/12))))</f>
        <v>0</v>
      </c>
      <c r="F546" s="53">
        <f>IF(OR(A546&gt;'Immobilien-Kalkulation'!$B$70*12,D546&lt;=0),0,D546*C546/12)</f>
        <v>0</v>
      </c>
      <c r="G546" s="53">
        <f>IF(OR(A546&gt;'Immobilien-Kalkulation'!$B$70*12,D546&lt;=0),0,MAX(0,MIN(D546,E546-F546)))</f>
        <v>0</v>
      </c>
      <c r="H546" s="95">
        <v>0</v>
      </c>
      <c r="I546" s="53">
        <f>IF(A546&gt;'Immobilien-Kalkulation'!$B$70*12,0,MAX(0,D546-G546-J546))</f>
        <v>0</v>
      </c>
      <c r="J546" s="53">
        <f>IF(OR(A546&gt;'Immobilien-Kalkulation'!$B$70*12,D546&lt;=0),0,MIN(H546,MAX(0,D546-G546)))</f>
        <v>0</v>
      </c>
    </row>
    <row r="547" spans="1:10" x14ac:dyDescent="0.25">
      <c r="A547">
        <v>544</v>
      </c>
      <c r="B547">
        <f t="shared" si="8"/>
        <v>46</v>
      </c>
      <c r="C547" s="28">
        <f>IF(A547&gt;'Immobilien-Kalkulation'!$B$70*12,0,IF(AND('Immobilien-Kalkulation'!$B$72=1,B547&gt;'Immobilien-Kalkulation'!$B$69),'Immobilien-Kalkulation'!$B$73,'Immobilien-Kalkulation'!$B$65))</f>
        <v>0</v>
      </c>
      <c r="D547" s="53">
        <f>IF(A547&gt;'Immobilien-Kalkulation'!$B$70*12,0,I546)</f>
        <v>0</v>
      </c>
      <c r="E547" s="53">
        <f>IF(OR(A547&gt;'Immobilien-Kalkulation'!$B$70*12,D547&lt;=0),0,IF(AND('Immobilien-Kalkulation'!$B$72=1,B547&gt;'Immobilien-Kalkulation'!$B$69),MIN(D547*C547/12+'Immobilien-Kalkulation'!$B$74/12,D547*(1+C547/12)),MIN('Immobilien-Kalkulation'!$B$67,D547*(1+C547/12))))</f>
        <v>0</v>
      </c>
      <c r="F547" s="53">
        <f>IF(OR(A547&gt;'Immobilien-Kalkulation'!$B$70*12,D547&lt;=0),0,D547*C547/12)</f>
        <v>0</v>
      </c>
      <c r="G547" s="53">
        <f>IF(OR(A547&gt;'Immobilien-Kalkulation'!$B$70*12,D547&lt;=0),0,MAX(0,MIN(D547,E547-F547)))</f>
        <v>0</v>
      </c>
      <c r="H547" s="95">
        <v>0</v>
      </c>
      <c r="I547" s="53">
        <f>IF(A547&gt;'Immobilien-Kalkulation'!$B$70*12,0,MAX(0,D547-G547-J547))</f>
        <v>0</v>
      </c>
      <c r="J547" s="53">
        <f>IF(OR(A547&gt;'Immobilien-Kalkulation'!$B$70*12,D547&lt;=0),0,MIN(H547,MAX(0,D547-G547)))</f>
        <v>0</v>
      </c>
    </row>
    <row r="548" spans="1:10" x14ac:dyDescent="0.25">
      <c r="A548">
        <v>545</v>
      </c>
      <c r="B548">
        <f t="shared" si="8"/>
        <v>46</v>
      </c>
      <c r="C548" s="28">
        <f>IF(A548&gt;'Immobilien-Kalkulation'!$B$70*12,0,IF(AND('Immobilien-Kalkulation'!$B$72=1,B548&gt;'Immobilien-Kalkulation'!$B$69),'Immobilien-Kalkulation'!$B$73,'Immobilien-Kalkulation'!$B$65))</f>
        <v>0</v>
      </c>
      <c r="D548" s="53">
        <f>IF(A548&gt;'Immobilien-Kalkulation'!$B$70*12,0,I547)</f>
        <v>0</v>
      </c>
      <c r="E548" s="53">
        <f>IF(OR(A548&gt;'Immobilien-Kalkulation'!$B$70*12,D548&lt;=0),0,IF(AND('Immobilien-Kalkulation'!$B$72=1,B548&gt;'Immobilien-Kalkulation'!$B$69),MIN(D548*C548/12+'Immobilien-Kalkulation'!$B$74/12,D548*(1+C548/12)),MIN('Immobilien-Kalkulation'!$B$67,D548*(1+C548/12))))</f>
        <v>0</v>
      </c>
      <c r="F548" s="53">
        <f>IF(OR(A548&gt;'Immobilien-Kalkulation'!$B$70*12,D548&lt;=0),0,D548*C548/12)</f>
        <v>0</v>
      </c>
      <c r="G548" s="53">
        <f>IF(OR(A548&gt;'Immobilien-Kalkulation'!$B$70*12,D548&lt;=0),0,MAX(0,MIN(D548,E548-F548)))</f>
        <v>0</v>
      </c>
      <c r="H548" s="95">
        <v>0</v>
      </c>
      <c r="I548" s="53">
        <f>IF(A548&gt;'Immobilien-Kalkulation'!$B$70*12,0,MAX(0,D548-G548-J548))</f>
        <v>0</v>
      </c>
      <c r="J548" s="53">
        <f>IF(OR(A548&gt;'Immobilien-Kalkulation'!$B$70*12,D548&lt;=0),0,MIN(H548,MAX(0,D548-G548)))</f>
        <v>0</v>
      </c>
    </row>
    <row r="549" spans="1:10" x14ac:dyDescent="0.25">
      <c r="A549">
        <v>546</v>
      </c>
      <c r="B549">
        <f t="shared" si="8"/>
        <v>46</v>
      </c>
      <c r="C549" s="28">
        <f>IF(A549&gt;'Immobilien-Kalkulation'!$B$70*12,0,IF(AND('Immobilien-Kalkulation'!$B$72=1,B549&gt;'Immobilien-Kalkulation'!$B$69),'Immobilien-Kalkulation'!$B$73,'Immobilien-Kalkulation'!$B$65))</f>
        <v>0</v>
      </c>
      <c r="D549" s="53">
        <f>IF(A549&gt;'Immobilien-Kalkulation'!$B$70*12,0,I548)</f>
        <v>0</v>
      </c>
      <c r="E549" s="53">
        <f>IF(OR(A549&gt;'Immobilien-Kalkulation'!$B$70*12,D549&lt;=0),0,IF(AND('Immobilien-Kalkulation'!$B$72=1,B549&gt;'Immobilien-Kalkulation'!$B$69),MIN(D549*C549/12+'Immobilien-Kalkulation'!$B$74/12,D549*(1+C549/12)),MIN('Immobilien-Kalkulation'!$B$67,D549*(1+C549/12))))</f>
        <v>0</v>
      </c>
      <c r="F549" s="53">
        <f>IF(OR(A549&gt;'Immobilien-Kalkulation'!$B$70*12,D549&lt;=0),0,D549*C549/12)</f>
        <v>0</v>
      </c>
      <c r="G549" s="53">
        <f>IF(OR(A549&gt;'Immobilien-Kalkulation'!$B$70*12,D549&lt;=0),0,MAX(0,MIN(D549,E549-F549)))</f>
        <v>0</v>
      </c>
      <c r="H549" s="95">
        <v>0</v>
      </c>
      <c r="I549" s="53">
        <f>IF(A549&gt;'Immobilien-Kalkulation'!$B$70*12,0,MAX(0,D549-G549-J549))</f>
        <v>0</v>
      </c>
      <c r="J549" s="53">
        <f>IF(OR(A549&gt;'Immobilien-Kalkulation'!$B$70*12,D549&lt;=0),0,MIN(H549,MAX(0,D549-G549)))</f>
        <v>0</v>
      </c>
    </row>
    <row r="550" spans="1:10" x14ac:dyDescent="0.25">
      <c r="A550">
        <v>547</v>
      </c>
      <c r="B550">
        <f t="shared" si="8"/>
        <v>46</v>
      </c>
      <c r="C550" s="28">
        <f>IF(A550&gt;'Immobilien-Kalkulation'!$B$70*12,0,IF(AND('Immobilien-Kalkulation'!$B$72=1,B550&gt;'Immobilien-Kalkulation'!$B$69),'Immobilien-Kalkulation'!$B$73,'Immobilien-Kalkulation'!$B$65))</f>
        <v>0</v>
      </c>
      <c r="D550" s="53">
        <f>IF(A550&gt;'Immobilien-Kalkulation'!$B$70*12,0,I549)</f>
        <v>0</v>
      </c>
      <c r="E550" s="53">
        <f>IF(OR(A550&gt;'Immobilien-Kalkulation'!$B$70*12,D550&lt;=0),0,IF(AND('Immobilien-Kalkulation'!$B$72=1,B550&gt;'Immobilien-Kalkulation'!$B$69),MIN(D550*C550/12+'Immobilien-Kalkulation'!$B$74/12,D550*(1+C550/12)),MIN('Immobilien-Kalkulation'!$B$67,D550*(1+C550/12))))</f>
        <v>0</v>
      </c>
      <c r="F550" s="53">
        <f>IF(OR(A550&gt;'Immobilien-Kalkulation'!$B$70*12,D550&lt;=0),0,D550*C550/12)</f>
        <v>0</v>
      </c>
      <c r="G550" s="53">
        <f>IF(OR(A550&gt;'Immobilien-Kalkulation'!$B$70*12,D550&lt;=0),0,MAX(0,MIN(D550,E550-F550)))</f>
        <v>0</v>
      </c>
      <c r="H550" s="95">
        <v>0</v>
      </c>
      <c r="I550" s="53">
        <f>IF(A550&gt;'Immobilien-Kalkulation'!$B$70*12,0,MAX(0,D550-G550-J550))</f>
        <v>0</v>
      </c>
      <c r="J550" s="53">
        <f>IF(OR(A550&gt;'Immobilien-Kalkulation'!$B$70*12,D550&lt;=0),0,MIN(H550,MAX(0,D550-G550)))</f>
        <v>0</v>
      </c>
    </row>
    <row r="551" spans="1:10" x14ac:dyDescent="0.25">
      <c r="A551">
        <v>548</v>
      </c>
      <c r="B551">
        <f t="shared" si="8"/>
        <v>46</v>
      </c>
      <c r="C551" s="28">
        <f>IF(A551&gt;'Immobilien-Kalkulation'!$B$70*12,0,IF(AND('Immobilien-Kalkulation'!$B$72=1,B551&gt;'Immobilien-Kalkulation'!$B$69),'Immobilien-Kalkulation'!$B$73,'Immobilien-Kalkulation'!$B$65))</f>
        <v>0</v>
      </c>
      <c r="D551" s="53">
        <f>IF(A551&gt;'Immobilien-Kalkulation'!$B$70*12,0,I550)</f>
        <v>0</v>
      </c>
      <c r="E551" s="53">
        <f>IF(OR(A551&gt;'Immobilien-Kalkulation'!$B$70*12,D551&lt;=0),0,IF(AND('Immobilien-Kalkulation'!$B$72=1,B551&gt;'Immobilien-Kalkulation'!$B$69),MIN(D551*C551/12+'Immobilien-Kalkulation'!$B$74/12,D551*(1+C551/12)),MIN('Immobilien-Kalkulation'!$B$67,D551*(1+C551/12))))</f>
        <v>0</v>
      </c>
      <c r="F551" s="53">
        <f>IF(OR(A551&gt;'Immobilien-Kalkulation'!$B$70*12,D551&lt;=0),0,D551*C551/12)</f>
        <v>0</v>
      </c>
      <c r="G551" s="53">
        <f>IF(OR(A551&gt;'Immobilien-Kalkulation'!$B$70*12,D551&lt;=0),0,MAX(0,MIN(D551,E551-F551)))</f>
        <v>0</v>
      </c>
      <c r="H551" s="95">
        <v>0</v>
      </c>
      <c r="I551" s="53">
        <f>IF(A551&gt;'Immobilien-Kalkulation'!$B$70*12,0,MAX(0,D551-G551-J551))</f>
        <v>0</v>
      </c>
      <c r="J551" s="53">
        <f>IF(OR(A551&gt;'Immobilien-Kalkulation'!$B$70*12,D551&lt;=0),0,MIN(H551,MAX(0,D551-G551)))</f>
        <v>0</v>
      </c>
    </row>
    <row r="552" spans="1:10" x14ac:dyDescent="0.25">
      <c r="A552">
        <v>549</v>
      </c>
      <c r="B552">
        <f t="shared" si="8"/>
        <v>46</v>
      </c>
      <c r="C552" s="28">
        <f>IF(A552&gt;'Immobilien-Kalkulation'!$B$70*12,0,IF(AND('Immobilien-Kalkulation'!$B$72=1,B552&gt;'Immobilien-Kalkulation'!$B$69),'Immobilien-Kalkulation'!$B$73,'Immobilien-Kalkulation'!$B$65))</f>
        <v>0</v>
      </c>
      <c r="D552" s="53">
        <f>IF(A552&gt;'Immobilien-Kalkulation'!$B$70*12,0,I551)</f>
        <v>0</v>
      </c>
      <c r="E552" s="53">
        <f>IF(OR(A552&gt;'Immobilien-Kalkulation'!$B$70*12,D552&lt;=0),0,IF(AND('Immobilien-Kalkulation'!$B$72=1,B552&gt;'Immobilien-Kalkulation'!$B$69),MIN(D552*C552/12+'Immobilien-Kalkulation'!$B$74/12,D552*(1+C552/12)),MIN('Immobilien-Kalkulation'!$B$67,D552*(1+C552/12))))</f>
        <v>0</v>
      </c>
      <c r="F552" s="53">
        <f>IF(OR(A552&gt;'Immobilien-Kalkulation'!$B$70*12,D552&lt;=0),0,D552*C552/12)</f>
        <v>0</v>
      </c>
      <c r="G552" s="53">
        <f>IF(OR(A552&gt;'Immobilien-Kalkulation'!$B$70*12,D552&lt;=0),0,MAX(0,MIN(D552,E552-F552)))</f>
        <v>0</v>
      </c>
      <c r="H552" s="95">
        <v>0</v>
      </c>
      <c r="I552" s="53">
        <f>IF(A552&gt;'Immobilien-Kalkulation'!$B$70*12,0,MAX(0,D552-G552-J552))</f>
        <v>0</v>
      </c>
      <c r="J552" s="53">
        <f>IF(OR(A552&gt;'Immobilien-Kalkulation'!$B$70*12,D552&lt;=0),0,MIN(H552,MAX(0,D552-G552)))</f>
        <v>0</v>
      </c>
    </row>
    <row r="553" spans="1:10" x14ac:dyDescent="0.25">
      <c r="A553">
        <v>550</v>
      </c>
      <c r="B553">
        <f t="shared" si="8"/>
        <v>46</v>
      </c>
      <c r="C553" s="28">
        <f>IF(A553&gt;'Immobilien-Kalkulation'!$B$70*12,0,IF(AND('Immobilien-Kalkulation'!$B$72=1,B553&gt;'Immobilien-Kalkulation'!$B$69),'Immobilien-Kalkulation'!$B$73,'Immobilien-Kalkulation'!$B$65))</f>
        <v>0</v>
      </c>
      <c r="D553" s="53">
        <f>IF(A553&gt;'Immobilien-Kalkulation'!$B$70*12,0,I552)</f>
        <v>0</v>
      </c>
      <c r="E553" s="53">
        <f>IF(OR(A553&gt;'Immobilien-Kalkulation'!$B$70*12,D553&lt;=0),0,IF(AND('Immobilien-Kalkulation'!$B$72=1,B553&gt;'Immobilien-Kalkulation'!$B$69),MIN(D553*C553/12+'Immobilien-Kalkulation'!$B$74/12,D553*(1+C553/12)),MIN('Immobilien-Kalkulation'!$B$67,D553*(1+C553/12))))</f>
        <v>0</v>
      </c>
      <c r="F553" s="53">
        <f>IF(OR(A553&gt;'Immobilien-Kalkulation'!$B$70*12,D553&lt;=0),0,D553*C553/12)</f>
        <v>0</v>
      </c>
      <c r="G553" s="53">
        <f>IF(OR(A553&gt;'Immobilien-Kalkulation'!$B$70*12,D553&lt;=0),0,MAX(0,MIN(D553,E553-F553)))</f>
        <v>0</v>
      </c>
      <c r="H553" s="95">
        <v>0</v>
      </c>
      <c r="I553" s="53">
        <f>IF(A553&gt;'Immobilien-Kalkulation'!$B$70*12,0,MAX(0,D553-G553-J553))</f>
        <v>0</v>
      </c>
      <c r="J553" s="53">
        <f>IF(OR(A553&gt;'Immobilien-Kalkulation'!$B$70*12,D553&lt;=0),0,MIN(H553,MAX(0,D553-G553)))</f>
        <v>0</v>
      </c>
    </row>
    <row r="554" spans="1:10" x14ac:dyDescent="0.25">
      <c r="A554">
        <v>551</v>
      </c>
      <c r="B554">
        <f t="shared" si="8"/>
        <v>46</v>
      </c>
      <c r="C554" s="28">
        <f>IF(A554&gt;'Immobilien-Kalkulation'!$B$70*12,0,IF(AND('Immobilien-Kalkulation'!$B$72=1,B554&gt;'Immobilien-Kalkulation'!$B$69),'Immobilien-Kalkulation'!$B$73,'Immobilien-Kalkulation'!$B$65))</f>
        <v>0</v>
      </c>
      <c r="D554" s="53">
        <f>IF(A554&gt;'Immobilien-Kalkulation'!$B$70*12,0,I553)</f>
        <v>0</v>
      </c>
      <c r="E554" s="53">
        <f>IF(OR(A554&gt;'Immobilien-Kalkulation'!$B$70*12,D554&lt;=0),0,IF(AND('Immobilien-Kalkulation'!$B$72=1,B554&gt;'Immobilien-Kalkulation'!$B$69),MIN(D554*C554/12+'Immobilien-Kalkulation'!$B$74/12,D554*(1+C554/12)),MIN('Immobilien-Kalkulation'!$B$67,D554*(1+C554/12))))</f>
        <v>0</v>
      </c>
      <c r="F554" s="53">
        <f>IF(OR(A554&gt;'Immobilien-Kalkulation'!$B$70*12,D554&lt;=0),0,D554*C554/12)</f>
        <v>0</v>
      </c>
      <c r="G554" s="53">
        <f>IF(OR(A554&gt;'Immobilien-Kalkulation'!$B$70*12,D554&lt;=0),0,MAX(0,MIN(D554,E554-F554)))</f>
        <v>0</v>
      </c>
      <c r="H554" s="95">
        <v>0</v>
      </c>
      <c r="I554" s="53">
        <f>IF(A554&gt;'Immobilien-Kalkulation'!$B$70*12,0,MAX(0,D554-G554-J554))</f>
        <v>0</v>
      </c>
      <c r="J554" s="53">
        <f>IF(OR(A554&gt;'Immobilien-Kalkulation'!$B$70*12,D554&lt;=0),0,MIN(H554,MAX(0,D554-G554)))</f>
        <v>0</v>
      </c>
    </row>
    <row r="555" spans="1:10" x14ac:dyDescent="0.25">
      <c r="A555">
        <v>552</v>
      </c>
      <c r="B555">
        <f t="shared" si="8"/>
        <v>46</v>
      </c>
      <c r="C555" s="28">
        <f>IF(A555&gt;'Immobilien-Kalkulation'!$B$70*12,0,IF(AND('Immobilien-Kalkulation'!$B$72=1,B555&gt;'Immobilien-Kalkulation'!$B$69),'Immobilien-Kalkulation'!$B$73,'Immobilien-Kalkulation'!$B$65))</f>
        <v>0</v>
      </c>
      <c r="D555" s="53">
        <f>IF(A555&gt;'Immobilien-Kalkulation'!$B$70*12,0,I554)</f>
        <v>0</v>
      </c>
      <c r="E555" s="53">
        <f>IF(OR(A555&gt;'Immobilien-Kalkulation'!$B$70*12,D555&lt;=0),0,IF(AND('Immobilien-Kalkulation'!$B$72=1,B555&gt;'Immobilien-Kalkulation'!$B$69),MIN(D555*C555/12+'Immobilien-Kalkulation'!$B$74/12,D555*(1+C555/12)),MIN('Immobilien-Kalkulation'!$B$67,D555*(1+C555/12))))</f>
        <v>0</v>
      </c>
      <c r="F555" s="53">
        <f>IF(OR(A555&gt;'Immobilien-Kalkulation'!$B$70*12,D555&lt;=0),0,D555*C555/12)</f>
        <v>0</v>
      </c>
      <c r="G555" s="53">
        <f>IF(OR(A555&gt;'Immobilien-Kalkulation'!$B$70*12,D555&lt;=0),0,MAX(0,MIN(D555,E555-F555)))</f>
        <v>0</v>
      </c>
      <c r="H555" s="95">
        <v>0</v>
      </c>
      <c r="I555" s="53">
        <f>IF(A555&gt;'Immobilien-Kalkulation'!$B$70*12,0,MAX(0,D555-G555-J555))</f>
        <v>0</v>
      </c>
      <c r="J555" s="53">
        <f>IF(OR(A555&gt;'Immobilien-Kalkulation'!$B$70*12,D555&lt;=0),0,MIN(H555,MAX(0,D555-G555)))</f>
        <v>0</v>
      </c>
    </row>
    <row r="556" spans="1:10" x14ac:dyDescent="0.25">
      <c r="A556">
        <v>553</v>
      </c>
      <c r="B556">
        <f t="shared" si="8"/>
        <v>47</v>
      </c>
      <c r="C556" s="28">
        <f>IF(A556&gt;'Immobilien-Kalkulation'!$B$70*12,0,IF(AND('Immobilien-Kalkulation'!$B$72=1,B556&gt;'Immobilien-Kalkulation'!$B$69),'Immobilien-Kalkulation'!$B$73,'Immobilien-Kalkulation'!$B$65))</f>
        <v>0</v>
      </c>
      <c r="D556" s="53">
        <f>IF(A556&gt;'Immobilien-Kalkulation'!$B$70*12,0,I555)</f>
        <v>0</v>
      </c>
      <c r="E556" s="53">
        <f>IF(OR(A556&gt;'Immobilien-Kalkulation'!$B$70*12,D556&lt;=0),0,IF(AND('Immobilien-Kalkulation'!$B$72=1,B556&gt;'Immobilien-Kalkulation'!$B$69),MIN(D556*C556/12+'Immobilien-Kalkulation'!$B$74/12,D556*(1+C556/12)),MIN('Immobilien-Kalkulation'!$B$67,D556*(1+C556/12))))</f>
        <v>0</v>
      </c>
      <c r="F556" s="53">
        <f>IF(OR(A556&gt;'Immobilien-Kalkulation'!$B$70*12,D556&lt;=0),0,D556*C556/12)</f>
        <v>0</v>
      </c>
      <c r="G556" s="53">
        <f>IF(OR(A556&gt;'Immobilien-Kalkulation'!$B$70*12,D556&lt;=0),0,MAX(0,MIN(D556,E556-F556)))</f>
        <v>0</v>
      </c>
      <c r="H556" s="95">
        <v>0</v>
      </c>
      <c r="I556" s="53">
        <f>IF(A556&gt;'Immobilien-Kalkulation'!$B$70*12,0,MAX(0,D556-G556-J556))</f>
        <v>0</v>
      </c>
      <c r="J556" s="53">
        <f>IF(OR(A556&gt;'Immobilien-Kalkulation'!$B$70*12,D556&lt;=0),0,MIN(H556,MAX(0,D556-G556)))</f>
        <v>0</v>
      </c>
    </row>
    <row r="557" spans="1:10" x14ac:dyDescent="0.25">
      <c r="A557">
        <v>554</v>
      </c>
      <c r="B557">
        <f t="shared" si="8"/>
        <v>47</v>
      </c>
      <c r="C557" s="28">
        <f>IF(A557&gt;'Immobilien-Kalkulation'!$B$70*12,0,IF(AND('Immobilien-Kalkulation'!$B$72=1,B557&gt;'Immobilien-Kalkulation'!$B$69),'Immobilien-Kalkulation'!$B$73,'Immobilien-Kalkulation'!$B$65))</f>
        <v>0</v>
      </c>
      <c r="D557" s="53">
        <f>IF(A557&gt;'Immobilien-Kalkulation'!$B$70*12,0,I556)</f>
        <v>0</v>
      </c>
      <c r="E557" s="53">
        <f>IF(OR(A557&gt;'Immobilien-Kalkulation'!$B$70*12,D557&lt;=0),0,IF(AND('Immobilien-Kalkulation'!$B$72=1,B557&gt;'Immobilien-Kalkulation'!$B$69),MIN(D557*C557/12+'Immobilien-Kalkulation'!$B$74/12,D557*(1+C557/12)),MIN('Immobilien-Kalkulation'!$B$67,D557*(1+C557/12))))</f>
        <v>0</v>
      </c>
      <c r="F557" s="53">
        <f>IF(OR(A557&gt;'Immobilien-Kalkulation'!$B$70*12,D557&lt;=0),0,D557*C557/12)</f>
        <v>0</v>
      </c>
      <c r="G557" s="53">
        <f>IF(OR(A557&gt;'Immobilien-Kalkulation'!$B$70*12,D557&lt;=0),0,MAX(0,MIN(D557,E557-F557)))</f>
        <v>0</v>
      </c>
      <c r="H557" s="95">
        <v>0</v>
      </c>
      <c r="I557" s="53">
        <f>IF(A557&gt;'Immobilien-Kalkulation'!$B$70*12,0,MAX(0,D557-G557-J557))</f>
        <v>0</v>
      </c>
      <c r="J557" s="53">
        <f>IF(OR(A557&gt;'Immobilien-Kalkulation'!$B$70*12,D557&lt;=0),0,MIN(H557,MAX(0,D557-G557)))</f>
        <v>0</v>
      </c>
    </row>
    <row r="558" spans="1:10" x14ac:dyDescent="0.25">
      <c r="A558">
        <v>555</v>
      </c>
      <c r="B558">
        <f t="shared" si="8"/>
        <v>47</v>
      </c>
      <c r="C558" s="28">
        <f>IF(A558&gt;'Immobilien-Kalkulation'!$B$70*12,0,IF(AND('Immobilien-Kalkulation'!$B$72=1,B558&gt;'Immobilien-Kalkulation'!$B$69),'Immobilien-Kalkulation'!$B$73,'Immobilien-Kalkulation'!$B$65))</f>
        <v>0</v>
      </c>
      <c r="D558" s="53">
        <f>IF(A558&gt;'Immobilien-Kalkulation'!$B$70*12,0,I557)</f>
        <v>0</v>
      </c>
      <c r="E558" s="53">
        <f>IF(OR(A558&gt;'Immobilien-Kalkulation'!$B$70*12,D558&lt;=0),0,IF(AND('Immobilien-Kalkulation'!$B$72=1,B558&gt;'Immobilien-Kalkulation'!$B$69),MIN(D558*C558/12+'Immobilien-Kalkulation'!$B$74/12,D558*(1+C558/12)),MIN('Immobilien-Kalkulation'!$B$67,D558*(1+C558/12))))</f>
        <v>0</v>
      </c>
      <c r="F558" s="53">
        <f>IF(OR(A558&gt;'Immobilien-Kalkulation'!$B$70*12,D558&lt;=0),0,D558*C558/12)</f>
        <v>0</v>
      </c>
      <c r="G558" s="53">
        <f>IF(OR(A558&gt;'Immobilien-Kalkulation'!$B$70*12,D558&lt;=0),0,MAX(0,MIN(D558,E558-F558)))</f>
        <v>0</v>
      </c>
      <c r="H558" s="95">
        <v>0</v>
      </c>
      <c r="I558" s="53">
        <f>IF(A558&gt;'Immobilien-Kalkulation'!$B$70*12,0,MAX(0,D558-G558-J558))</f>
        <v>0</v>
      </c>
      <c r="J558" s="53">
        <f>IF(OR(A558&gt;'Immobilien-Kalkulation'!$B$70*12,D558&lt;=0),0,MIN(H558,MAX(0,D558-G558)))</f>
        <v>0</v>
      </c>
    </row>
    <row r="559" spans="1:10" x14ac:dyDescent="0.25">
      <c r="A559">
        <v>556</v>
      </c>
      <c r="B559">
        <f t="shared" si="8"/>
        <v>47</v>
      </c>
      <c r="C559" s="28">
        <f>IF(A559&gt;'Immobilien-Kalkulation'!$B$70*12,0,IF(AND('Immobilien-Kalkulation'!$B$72=1,B559&gt;'Immobilien-Kalkulation'!$B$69),'Immobilien-Kalkulation'!$B$73,'Immobilien-Kalkulation'!$B$65))</f>
        <v>0</v>
      </c>
      <c r="D559" s="53">
        <f>IF(A559&gt;'Immobilien-Kalkulation'!$B$70*12,0,I558)</f>
        <v>0</v>
      </c>
      <c r="E559" s="53">
        <f>IF(OR(A559&gt;'Immobilien-Kalkulation'!$B$70*12,D559&lt;=0),0,IF(AND('Immobilien-Kalkulation'!$B$72=1,B559&gt;'Immobilien-Kalkulation'!$B$69),MIN(D559*C559/12+'Immobilien-Kalkulation'!$B$74/12,D559*(1+C559/12)),MIN('Immobilien-Kalkulation'!$B$67,D559*(1+C559/12))))</f>
        <v>0</v>
      </c>
      <c r="F559" s="53">
        <f>IF(OR(A559&gt;'Immobilien-Kalkulation'!$B$70*12,D559&lt;=0),0,D559*C559/12)</f>
        <v>0</v>
      </c>
      <c r="G559" s="53">
        <f>IF(OR(A559&gt;'Immobilien-Kalkulation'!$B$70*12,D559&lt;=0),0,MAX(0,MIN(D559,E559-F559)))</f>
        <v>0</v>
      </c>
      <c r="H559" s="95">
        <v>0</v>
      </c>
      <c r="I559" s="53">
        <f>IF(A559&gt;'Immobilien-Kalkulation'!$B$70*12,0,MAX(0,D559-G559-J559))</f>
        <v>0</v>
      </c>
      <c r="J559" s="53">
        <f>IF(OR(A559&gt;'Immobilien-Kalkulation'!$B$70*12,D559&lt;=0),0,MIN(H559,MAX(0,D559-G559)))</f>
        <v>0</v>
      </c>
    </row>
    <row r="560" spans="1:10" x14ac:dyDescent="0.25">
      <c r="A560">
        <v>557</v>
      </c>
      <c r="B560">
        <f t="shared" si="8"/>
        <v>47</v>
      </c>
      <c r="C560" s="28">
        <f>IF(A560&gt;'Immobilien-Kalkulation'!$B$70*12,0,IF(AND('Immobilien-Kalkulation'!$B$72=1,B560&gt;'Immobilien-Kalkulation'!$B$69),'Immobilien-Kalkulation'!$B$73,'Immobilien-Kalkulation'!$B$65))</f>
        <v>0</v>
      </c>
      <c r="D560" s="53">
        <f>IF(A560&gt;'Immobilien-Kalkulation'!$B$70*12,0,I559)</f>
        <v>0</v>
      </c>
      <c r="E560" s="53">
        <f>IF(OR(A560&gt;'Immobilien-Kalkulation'!$B$70*12,D560&lt;=0),0,IF(AND('Immobilien-Kalkulation'!$B$72=1,B560&gt;'Immobilien-Kalkulation'!$B$69),MIN(D560*C560/12+'Immobilien-Kalkulation'!$B$74/12,D560*(1+C560/12)),MIN('Immobilien-Kalkulation'!$B$67,D560*(1+C560/12))))</f>
        <v>0</v>
      </c>
      <c r="F560" s="53">
        <f>IF(OR(A560&gt;'Immobilien-Kalkulation'!$B$70*12,D560&lt;=0),0,D560*C560/12)</f>
        <v>0</v>
      </c>
      <c r="G560" s="53">
        <f>IF(OR(A560&gt;'Immobilien-Kalkulation'!$B$70*12,D560&lt;=0),0,MAX(0,MIN(D560,E560-F560)))</f>
        <v>0</v>
      </c>
      <c r="H560" s="95">
        <v>0</v>
      </c>
      <c r="I560" s="53">
        <f>IF(A560&gt;'Immobilien-Kalkulation'!$B$70*12,0,MAX(0,D560-G560-J560))</f>
        <v>0</v>
      </c>
      <c r="J560" s="53">
        <f>IF(OR(A560&gt;'Immobilien-Kalkulation'!$B$70*12,D560&lt;=0),0,MIN(H560,MAX(0,D560-G560)))</f>
        <v>0</v>
      </c>
    </row>
    <row r="561" spans="1:10" x14ac:dyDescent="0.25">
      <c r="A561">
        <v>558</v>
      </c>
      <c r="B561">
        <f t="shared" si="8"/>
        <v>47</v>
      </c>
      <c r="C561" s="28">
        <f>IF(A561&gt;'Immobilien-Kalkulation'!$B$70*12,0,IF(AND('Immobilien-Kalkulation'!$B$72=1,B561&gt;'Immobilien-Kalkulation'!$B$69),'Immobilien-Kalkulation'!$B$73,'Immobilien-Kalkulation'!$B$65))</f>
        <v>0</v>
      </c>
      <c r="D561" s="53">
        <f>IF(A561&gt;'Immobilien-Kalkulation'!$B$70*12,0,I560)</f>
        <v>0</v>
      </c>
      <c r="E561" s="53">
        <f>IF(OR(A561&gt;'Immobilien-Kalkulation'!$B$70*12,D561&lt;=0),0,IF(AND('Immobilien-Kalkulation'!$B$72=1,B561&gt;'Immobilien-Kalkulation'!$B$69),MIN(D561*C561/12+'Immobilien-Kalkulation'!$B$74/12,D561*(1+C561/12)),MIN('Immobilien-Kalkulation'!$B$67,D561*(1+C561/12))))</f>
        <v>0</v>
      </c>
      <c r="F561" s="53">
        <f>IF(OR(A561&gt;'Immobilien-Kalkulation'!$B$70*12,D561&lt;=0),0,D561*C561/12)</f>
        <v>0</v>
      </c>
      <c r="G561" s="53">
        <f>IF(OR(A561&gt;'Immobilien-Kalkulation'!$B$70*12,D561&lt;=0),0,MAX(0,MIN(D561,E561-F561)))</f>
        <v>0</v>
      </c>
      <c r="H561" s="95">
        <v>0</v>
      </c>
      <c r="I561" s="53">
        <f>IF(A561&gt;'Immobilien-Kalkulation'!$B$70*12,0,MAX(0,D561-G561-J561))</f>
        <v>0</v>
      </c>
      <c r="J561" s="53">
        <f>IF(OR(A561&gt;'Immobilien-Kalkulation'!$B$70*12,D561&lt;=0),0,MIN(H561,MAX(0,D561-G561)))</f>
        <v>0</v>
      </c>
    </row>
    <row r="562" spans="1:10" x14ac:dyDescent="0.25">
      <c r="A562">
        <v>559</v>
      </c>
      <c r="B562">
        <f t="shared" si="8"/>
        <v>47</v>
      </c>
      <c r="C562" s="28">
        <f>IF(A562&gt;'Immobilien-Kalkulation'!$B$70*12,0,IF(AND('Immobilien-Kalkulation'!$B$72=1,B562&gt;'Immobilien-Kalkulation'!$B$69),'Immobilien-Kalkulation'!$B$73,'Immobilien-Kalkulation'!$B$65))</f>
        <v>0</v>
      </c>
      <c r="D562" s="53">
        <f>IF(A562&gt;'Immobilien-Kalkulation'!$B$70*12,0,I561)</f>
        <v>0</v>
      </c>
      <c r="E562" s="53">
        <f>IF(OR(A562&gt;'Immobilien-Kalkulation'!$B$70*12,D562&lt;=0),0,IF(AND('Immobilien-Kalkulation'!$B$72=1,B562&gt;'Immobilien-Kalkulation'!$B$69),MIN(D562*C562/12+'Immobilien-Kalkulation'!$B$74/12,D562*(1+C562/12)),MIN('Immobilien-Kalkulation'!$B$67,D562*(1+C562/12))))</f>
        <v>0</v>
      </c>
      <c r="F562" s="53">
        <f>IF(OR(A562&gt;'Immobilien-Kalkulation'!$B$70*12,D562&lt;=0),0,D562*C562/12)</f>
        <v>0</v>
      </c>
      <c r="G562" s="53">
        <f>IF(OR(A562&gt;'Immobilien-Kalkulation'!$B$70*12,D562&lt;=0),0,MAX(0,MIN(D562,E562-F562)))</f>
        <v>0</v>
      </c>
      <c r="H562" s="95">
        <v>0</v>
      </c>
      <c r="I562" s="53">
        <f>IF(A562&gt;'Immobilien-Kalkulation'!$B$70*12,0,MAX(0,D562-G562-J562))</f>
        <v>0</v>
      </c>
      <c r="J562" s="53">
        <f>IF(OR(A562&gt;'Immobilien-Kalkulation'!$B$70*12,D562&lt;=0),0,MIN(H562,MAX(0,D562-G562)))</f>
        <v>0</v>
      </c>
    </row>
    <row r="563" spans="1:10" x14ac:dyDescent="0.25">
      <c r="A563">
        <v>560</v>
      </c>
      <c r="B563">
        <f t="shared" si="8"/>
        <v>47</v>
      </c>
      <c r="C563" s="28">
        <f>IF(A563&gt;'Immobilien-Kalkulation'!$B$70*12,0,IF(AND('Immobilien-Kalkulation'!$B$72=1,B563&gt;'Immobilien-Kalkulation'!$B$69),'Immobilien-Kalkulation'!$B$73,'Immobilien-Kalkulation'!$B$65))</f>
        <v>0</v>
      </c>
      <c r="D563" s="53">
        <f>IF(A563&gt;'Immobilien-Kalkulation'!$B$70*12,0,I562)</f>
        <v>0</v>
      </c>
      <c r="E563" s="53">
        <f>IF(OR(A563&gt;'Immobilien-Kalkulation'!$B$70*12,D563&lt;=0),0,IF(AND('Immobilien-Kalkulation'!$B$72=1,B563&gt;'Immobilien-Kalkulation'!$B$69),MIN(D563*C563/12+'Immobilien-Kalkulation'!$B$74/12,D563*(1+C563/12)),MIN('Immobilien-Kalkulation'!$B$67,D563*(1+C563/12))))</f>
        <v>0</v>
      </c>
      <c r="F563" s="53">
        <f>IF(OR(A563&gt;'Immobilien-Kalkulation'!$B$70*12,D563&lt;=0),0,D563*C563/12)</f>
        <v>0</v>
      </c>
      <c r="G563" s="53">
        <f>IF(OR(A563&gt;'Immobilien-Kalkulation'!$B$70*12,D563&lt;=0),0,MAX(0,MIN(D563,E563-F563)))</f>
        <v>0</v>
      </c>
      <c r="H563" s="95">
        <v>0</v>
      </c>
      <c r="I563" s="53">
        <f>IF(A563&gt;'Immobilien-Kalkulation'!$B$70*12,0,MAX(0,D563-G563-J563))</f>
        <v>0</v>
      </c>
      <c r="J563" s="53">
        <f>IF(OR(A563&gt;'Immobilien-Kalkulation'!$B$70*12,D563&lt;=0),0,MIN(H563,MAX(0,D563-G563)))</f>
        <v>0</v>
      </c>
    </row>
    <row r="564" spans="1:10" x14ac:dyDescent="0.25">
      <c r="A564">
        <v>561</v>
      </c>
      <c r="B564">
        <f t="shared" si="8"/>
        <v>47</v>
      </c>
      <c r="C564" s="28">
        <f>IF(A564&gt;'Immobilien-Kalkulation'!$B$70*12,0,IF(AND('Immobilien-Kalkulation'!$B$72=1,B564&gt;'Immobilien-Kalkulation'!$B$69),'Immobilien-Kalkulation'!$B$73,'Immobilien-Kalkulation'!$B$65))</f>
        <v>0</v>
      </c>
      <c r="D564" s="53">
        <f>IF(A564&gt;'Immobilien-Kalkulation'!$B$70*12,0,I563)</f>
        <v>0</v>
      </c>
      <c r="E564" s="53">
        <f>IF(OR(A564&gt;'Immobilien-Kalkulation'!$B$70*12,D564&lt;=0),0,IF(AND('Immobilien-Kalkulation'!$B$72=1,B564&gt;'Immobilien-Kalkulation'!$B$69),MIN(D564*C564/12+'Immobilien-Kalkulation'!$B$74/12,D564*(1+C564/12)),MIN('Immobilien-Kalkulation'!$B$67,D564*(1+C564/12))))</f>
        <v>0</v>
      </c>
      <c r="F564" s="53">
        <f>IF(OR(A564&gt;'Immobilien-Kalkulation'!$B$70*12,D564&lt;=0),0,D564*C564/12)</f>
        <v>0</v>
      </c>
      <c r="G564" s="53">
        <f>IF(OR(A564&gt;'Immobilien-Kalkulation'!$B$70*12,D564&lt;=0),0,MAX(0,MIN(D564,E564-F564)))</f>
        <v>0</v>
      </c>
      <c r="H564" s="95">
        <v>0</v>
      </c>
      <c r="I564" s="53">
        <f>IF(A564&gt;'Immobilien-Kalkulation'!$B$70*12,0,MAX(0,D564-G564-J564))</f>
        <v>0</v>
      </c>
      <c r="J564" s="53">
        <f>IF(OR(A564&gt;'Immobilien-Kalkulation'!$B$70*12,D564&lt;=0),0,MIN(H564,MAX(0,D564-G564)))</f>
        <v>0</v>
      </c>
    </row>
    <row r="565" spans="1:10" x14ac:dyDescent="0.25">
      <c r="A565">
        <v>562</v>
      </c>
      <c r="B565">
        <f t="shared" si="8"/>
        <v>47</v>
      </c>
      <c r="C565" s="28">
        <f>IF(A565&gt;'Immobilien-Kalkulation'!$B$70*12,0,IF(AND('Immobilien-Kalkulation'!$B$72=1,B565&gt;'Immobilien-Kalkulation'!$B$69),'Immobilien-Kalkulation'!$B$73,'Immobilien-Kalkulation'!$B$65))</f>
        <v>0</v>
      </c>
      <c r="D565" s="53">
        <f>IF(A565&gt;'Immobilien-Kalkulation'!$B$70*12,0,I564)</f>
        <v>0</v>
      </c>
      <c r="E565" s="53">
        <f>IF(OR(A565&gt;'Immobilien-Kalkulation'!$B$70*12,D565&lt;=0),0,IF(AND('Immobilien-Kalkulation'!$B$72=1,B565&gt;'Immobilien-Kalkulation'!$B$69),MIN(D565*C565/12+'Immobilien-Kalkulation'!$B$74/12,D565*(1+C565/12)),MIN('Immobilien-Kalkulation'!$B$67,D565*(1+C565/12))))</f>
        <v>0</v>
      </c>
      <c r="F565" s="53">
        <f>IF(OR(A565&gt;'Immobilien-Kalkulation'!$B$70*12,D565&lt;=0),0,D565*C565/12)</f>
        <v>0</v>
      </c>
      <c r="G565" s="53">
        <f>IF(OR(A565&gt;'Immobilien-Kalkulation'!$B$70*12,D565&lt;=0),0,MAX(0,MIN(D565,E565-F565)))</f>
        <v>0</v>
      </c>
      <c r="H565" s="95">
        <v>0</v>
      </c>
      <c r="I565" s="53">
        <f>IF(A565&gt;'Immobilien-Kalkulation'!$B$70*12,0,MAX(0,D565-G565-J565))</f>
        <v>0</v>
      </c>
      <c r="J565" s="53">
        <f>IF(OR(A565&gt;'Immobilien-Kalkulation'!$B$70*12,D565&lt;=0),0,MIN(H565,MAX(0,D565-G565)))</f>
        <v>0</v>
      </c>
    </row>
    <row r="566" spans="1:10" x14ac:dyDescent="0.25">
      <c r="A566">
        <v>563</v>
      </c>
      <c r="B566">
        <f t="shared" si="8"/>
        <v>47</v>
      </c>
      <c r="C566" s="28">
        <f>IF(A566&gt;'Immobilien-Kalkulation'!$B$70*12,0,IF(AND('Immobilien-Kalkulation'!$B$72=1,B566&gt;'Immobilien-Kalkulation'!$B$69),'Immobilien-Kalkulation'!$B$73,'Immobilien-Kalkulation'!$B$65))</f>
        <v>0</v>
      </c>
      <c r="D566" s="53">
        <f>IF(A566&gt;'Immobilien-Kalkulation'!$B$70*12,0,I565)</f>
        <v>0</v>
      </c>
      <c r="E566" s="53">
        <f>IF(OR(A566&gt;'Immobilien-Kalkulation'!$B$70*12,D566&lt;=0),0,IF(AND('Immobilien-Kalkulation'!$B$72=1,B566&gt;'Immobilien-Kalkulation'!$B$69),MIN(D566*C566/12+'Immobilien-Kalkulation'!$B$74/12,D566*(1+C566/12)),MIN('Immobilien-Kalkulation'!$B$67,D566*(1+C566/12))))</f>
        <v>0</v>
      </c>
      <c r="F566" s="53">
        <f>IF(OR(A566&gt;'Immobilien-Kalkulation'!$B$70*12,D566&lt;=0),0,D566*C566/12)</f>
        <v>0</v>
      </c>
      <c r="G566" s="53">
        <f>IF(OR(A566&gt;'Immobilien-Kalkulation'!$B$70*12,D566&lt;=0),0,MAX(0,MIN(D566,E566-F566)))</f>
        <v>0</v>
      </c>
      <c r="H566" s="95">
        <v>0</v>
      </c>
      <c r="I566" s="53">
        <f>IF(A566&gt;'Immobilien-Kalkulation'!$B$70*12,0,MAX(0,D566-G566-J566))</f>
        <v>0</v>
      </c>
      <c r="J566" s="53">
        <f>IF(OR(A566&gt;'Immobilien-Kalkulation'!$B$70*12,D566&lt;=0),0,MIN(H566,MAX(0,D566-G566)))</f>
        <v>0</v>
      </c>
    </row>
    <row r="567" spans="1:10" x14ac:dyDescent="0.25">
      <c r="A567">
        <v>564</v>
      </c>
      <c r="B567">
        <f t="shared" si="8"/>
        <v>47</v>
      </c>
      <c r="C567" s="28">
        <f>IF(A567&gt;'Immobilien-Kalkulation'!$B$70*12,0,IF(AND('Immobilien-Kalkulation'!$B$72=1,B567&gt;'Immobilien-Kalkulation'!$B$69),'Immobilien-Kalkulation'!$B$73,'Immobilien-Kalkulation'!$B$65))</f>
        <v>0</v>
      </c>
      <c r="D567" s="53">
        <f>IF(A567&gt;'Immobilien-Kalkulation'!$B$70*12,0,I566)</f>
        <v>0</v>
      </c>
      <c r="E567" s="53">
        <f>IF(OR(A567&gt;'Immobilien-Kalkulation'!$B$70*12,D567&lt;=0),0,IF(AND('Immobilien-Kalkulation'!$B$72=1,B567&gt;'Immobilien-Kalkulation'!$B$69),MIN(D567*C567/12+'Immobilien-Kalkulation'!$B$74/12,D567*(1+C567/12)),MIN('Immobilien-Kalkulation'!$B$67,D567*(1+C567/12))))</f>
        <v>0</v>
      </c>
      <c r="F567" s="53">
        <f>IF(OR(A567&gt;'Immobilien-Kalkulation'!$B$70*12,D567&lt;=0),0,D567*C567/12)</f>
        <v>0</v>
      </c>
      <c r="G567" s="53">
        <f>IF(OR(A567&gt;'Immobilien-Kalkulation'!$B$70*12,D567&lt;=0),0,MAX(0,MIN(D567,E567-F567)))</f>
        <v>0</v>
      </c>
      <c r="H567" s="95">
        <v>0</v>
      </c>
      <c r="I567" s="53">
        <f>IF(A567&gt;'Immobilien-Kalkulation'!$B$70*12,0,MAX(0,D567-G567-J567))</f>
        <v>0</v>
      </c>
      <c r="J567" s="53">
        <f>IF(OR(A567&gt;'Immobilien-Kalkulation'!$B$70*12,D567&lt;=0),0,MIN(H567,MAX(0,D567-G567)))</f>
        <v>0</v>
      </c>
    </row>
    <row r="568" spans="1:10" x14ac:dyDescent="0.25">
      <c r="A568">
        <v>565</v>
      </c>
      <c r="B568">
        <f t="shared" si="8"/>
        <v>48</v>
      </c>
      <c r="C568" s="28">
        <f>IF(A568&gt;'Immobilien-Kalkulation'!$B$70*12,0,IF(AND('Immobilien-Kalkulation'!$B$72=1,B568&gt;'Immobilien-Kalkulation'!$B$69),'Immobilien-Kalkulation'!$B$73,'Immobilien-Kalkulation'!$B$65))</f>
        <v>0</v>
      </c>
      <c r="D568" s="53">
        <f>IF(A568&gt;'Immobilien-Kalkulation'!$B$70*12,0,I567)</f>
        <v>0</v>
      </c>
      <c r="E568" s="53">
        <f>IF(OR(A568&gt;'Immobilien-Kalkulation'!$B$70*12,D568&lt;=0),0,IF(AND('Immobilien-Kalkulation'!$B$72=1,B568&gt;'Immobilien-Kalkulation'!$B$69),MIN(D568*C568/12+'Immobilien-Kalkulation'!$B$74/12,D568*(1+C568/12)),MIN('Immobilien-Kalkulation'!$B$67,D568*(1+C568/12))))</f>
        <v>0</v>
      </c>
      <c r="F568" s="53">
        <f>IF(OR(A568&gt;'Immobilien-Kalkulation'!$B$70*12,D568&lt;=0),0,D568*C568/12)</f>
        <v>0</v>
      </c>
      <c r="G568" s="53">
        <f>IF(OR(A568&gt;'Immobilien-Kalkulation'!$B$70*12,D568&lt;=0),0,MAX(0,MIN(D568,E568-F568)))</f>
        <v>0</v>
      </c>
      <c r="H568" s="95">
        <v>0</v>
      </c>
      <c r="I568" s="53">
        <f>IF(A568&gt;'Immobilien-Kalkulation'!$B$70*12,0,MAX(0,D568-G568-J568))</f>
        <v>0</v>
      </c>
      <c r="J568" s="53">
        <f>IF(OR(A568&gt;'Immobilien-Kalkulation'!$B$70*12,D568&lt;=0),0,MIN(H568,MAX(0,D568-G568)))</f>
        <v>0</v>
      </c>
    </row>
    <row r="569" spans="1:10" x14ac:dyDescent="0.25">
      <c r="A569">
        <v>566</v>
      </c>
      <c r="B569">
        <f t="shared" si="8"/>
        <v>48</v>
      </c>
      <c r="C569" s="28">
        <f>IF(A569&gt;'Immobilien-Kalkulation'!$B$70*12,0,IF(AND('Immobilien-Kalkulation'!$B$72=1,B569&gt;'Immobilien-Kalkulation'!$B$69),'Immobilien-Kalkulation'!$B$73,'Immobilien-Kalkulation'!$B$65))</f>
        <v>0</v>
      </c>
      <c r="D569" s="53">
        <f>IF(A569&gt;'Immobilien-Kalkulation'!$B$70*12,0,I568)</f>
        <v>0</v>
      </c>
      <c r="E569" s="53">
        <f>IF(OR(A569&gt;'Immobilien-Kalkulation'!$B$70*12,D569&lt;=0),0,IF(AND('Immobilien-Kalkulation'!$B$72=1,B569&gt;'Immobilien-Kalkulation'!$B$69),MIN(D569*C569/12+'Immobilien-Kalkulation'!$B$74/12,D569*(1+C569/12)),MIN('Immobilien-Kalkulation'!$B$67,D569*(1+C569/12))))</f>
        <v>0</v>
      </c>
      <c r="F569" s="53">
        <f>IF(OR(A569&gt;'Immobilien-Kalkulation'!$B$70*12,D569&lt;=0),0,D569*C569/12)</f>
        <v>0</v>
      </c>
      <c r="G569" s="53">
        <f>IF(OR(A569&gt;'Immobilien-Kalkulation'!$B$70*12,D569&lt;=0),0,MAX(0,MIN(D569,E569-F569)))</f>
        <v>0</v>
      </c>
      <c r="H569" s="95">
        <v>0</v>
      </c>
      <c r="I569" s="53">
        <f>IF(A569&gt;'Immobilien-Kalkulation'!$B$70*12,0,MAX(0,D569-G569-J569))</f>
        <v>0</v>
      </c>
      <c r="J569" s="53">
        <f>IF(OR(A569&gt;'Immobilien-Kalkulation'!$B$70*12,D569&lt;=0),0,MIN(H569,MAX(0,D569-G569)))</f>
        <v>0</v>
      </c>
    </row>
    <row r="570" spans="1:10" x14ac:dyDescent="0.25">
      <c r="A570">
        <v>567</v>
      </c>
      <c r="B570">
        <f t="shared" si="8"/>
        <v>48</v>
      </c>
      <c r="C570" s="28">
        <f>IF(A570&gt;'Immobilien-Kalkulation'!$B$70*12,0,IF(AND('Immobilien-Kalkulation'!$B$72=1,B570&gt;'Immobilien-Kalkulation'!$B$69),'Immobilien-Kalkulation'!$B$73,'Immobilien-Kalkulation'!$B$65))</f>
        <v>0</v>
      </c>
      <c r="D570" s="53">
        <f>IF(A570&gt;'Immobilien-Kalkulation'!$B$70*12,0,I569)</f>
        <v>0</v>
      </c>
      <c r="E570" s="53">
        <f>IF(OR(A570&gt;'Immobilien-Kalkulation'!$B$70*12,D570&lt;=0),0,IF(AND('Immobilien-Kalkulation'!$B$72=1,B570&gt;'Immobilien-Kalkulation'!$B$69),MIN(D570*C570/12+'Immobilien-Kalkulation'!$B$74/12,D570*(1+C570/12)),MIN('Immobilien-Kalkulation'!$B$67,D570*(1+C570/12))))</f>
        <v>0</v>
      </c>
      <c r="F570" s="53">
        <f>IF(OR(A570&gt;'Immobilien-Kalkulation'!$B$70*12,D570&lt;=0),0,D570*C570/12)</f>
        <v>0</v>
      </c>
      <c r="G570" s="53">
        <f>IF(OR(A570&gt;'Immobilien-Kalkulation'!$B$70*12,D570&lt;=0),0,MAX(0,MIN(D570,E570-F570)))</f>
        <v>0</v>
      </c>
      <c r="H570" s="95">
        <v>0</v>
      </c>
      <c r="I570" s="53">
        <f>IF(A570&gt;'Immobilien-Kalkulation'!$B$70*12,0,MAX(0,D570-G570-J570))</f>
        <v>0</v>
      </c>
      <c r="J570" s="53">
        <f>IF(OR(A570&gt;'Immobilien-Kalkulation'!$B$70*12,D570&lt;=0),0,MIN(H570,MAX(0,D570-G570)))</f>
        <v>0</v>
      </c>
    </row>
    <row r="571" spans="1:10" x14ac:dyDescent="0.25">
      <c r="A571">
        <v>568</v>
      </c>
      <c r="B571">
        <f t="shared" si="8"/>
        <v>48</v>
      </c>
      <c r="C571" s="28">
        <f>IF(A571&gt;'Immobilien-Kalkulation'!$B$70*12,0,IF(AND('Immobilien-Kalkulation'!$B$72=1,B571&gt;'Immobilien-Kalkulation'!$B$69),'Immobilien-Kalkulation'!$B$73,'Immobilien-Kalkulation'!$B$65))</f>
        <v>0</v>
      </c>
      <c r="D571" s="53">
        <f>IF(A571&gt;'Immobilien-Kalkulation'!$B$70*12,0,I570)</f>
        <v>0</v>
      </c>
      <c r="E571" s="53">
        <f>IF(OR(A571&gt;'Immobilien-Kalkulation'!$B$70*12,D571&lt;=0),0,IF(AND('Immobilien-Kalkulation'!$B$72=1,B571&gt;'Immobilien-Kalkulation'!$B$69),MIN(D571*C571/12+'Immobilien-Kalkulation'!$B$74/12,D571*(1+C571/12)),MIN('Immobilien-Kalkulation'!$B$67,D571*(1+C571/12))))</f>
        <v>0</v>
      </c>
      <c r="F571" s="53">
        <f>IF(OR(A571&gt;'Immobilien-Kalkulation'!$B$70*12,D571&lt;=0),0,D571*C571/12)</f>
        <v>0</v>
      </c>
      <c r="G571" s="53">
        <f>IF(OR(A571&gt;'Immobilien-Kalkulation'!$B$70*12,D571&lt;=0),0,MAX(0,MIN(D571,E571-F571)))</f>
        <v>0</v>
      </c>
      <c r="H571" s="95">
        <v>0</v>
      </c>
      <c r="I571" s="53">
        <f>IF(A571&gt;'Immobilien-Kalkulation'!$B$70*12,0,MAX(0,D571-G571-J571))</f>
        <v>0</v>
      </c>
      <c r="J571" s="53">
        <f>IF(OR(A571&gt;'Immobilien-Kalkulation'!$B$70*12,D571&lt;=0),0,MIN(H571,MAX(0,D571-G571)))</f>
        <v>0</v>
      </c>
    </row>
    <row r="572" spans="1:10" x14ac:dyDescent="0.25">
      <c r="A572">
        <v>569</v>
      </c>
      <c r="B572">
        <f t="shared" si="8"/>
        <v>48</v>
      </c>
      <c r="C572" s="28">
        <f>IF(A572&gt;'Immobilien-Kalkulation'!$B$70*12,0,IF(AND('Immobilien-Kalkulation'!$B$72=1,B572&gt;'Immobilien-Kalkulation'!$B$69),'Immobilien-Kalkulation'!$B$73,'Immobilien-Kalkulation'!$B$65))</f>
        <v>0</v>
      </c>
      <c r="D572" s="53">
        <f>IF(A572&gt;'Immobilien-Kalkulation'!$B$70*12,0,I571)</f>
        <v>0</v>
      </c>
      <c r="E572" s="53">
        <f>IF(OR(A572&gt;'Immobilien-Kalkulation'!$B$70*12,D572&lt;=0),0,IF(AND('Immobilien-Kalkulation'!$B$72=1,B572&gt;'Immobilien-Kalkulation'!$B$69),MIN(D572*C572/12+'Immobilien-Kalkulation'!$B$74/12,D572*(1+C572/12)),MIN('Immobilien-Kalkulation'!$B$67,D572*(1+C572/12))))</f>
        <v>0</v>
      </c>
      <c r="F572" s="53">
        <f>IF(OR(A572&gt;'Immobilien-Kalkulation'!$B$70*12,D572&lt;=0),0,D572*C572/12)</f>
        <v>0</v>
      </c>
      <c r="G572" s="53">
        <f>IF(OR(A572&gt;'Immobilien-Kalkulation'!$B$70*12,D572&lt;=0),0,MAX(0,MIN(D572,E572-F572)))</f>
        <v>0</v>
      </c>
      <c r="H572" s="95">
        <v>0</v>
      </c>
      <c r="I572" s="53">
        <f>IF(A572&gt;'Immobilien-Kalkulation'!$B$70*12,0,MAX(0,D572-G572-J572))</f>
        <v>0</v>
      </c>
      <c r="J572" s="53">
        <f>IF(OR(A572&gt;'Immobilien-Kalkulation'!$B$70*12,D572&lt;=0),0,MIN(H572,MAX(0,D572-G572)))</f>
        <v>0</v>
      </c>
    </row>
    <row r="573" spans="1:10" x14ac:dyDescent="0.25">
      <c r="A573">
        <v>570</v>
      </c>
      <c r="B573">
        <f t="shared" si="8"/>
        <v>48</v>
      </c>
      <c r="C573" s="28">
        <f>IF(A573&gt;'Immobilien-Kalkulation'!$B$70*12,0,IF(AND('Immobilien-Kalkulation'!$B$72=1,B573&gt;'Immobilien-Kalkulation'!$B$69),'Immobilien-Kalkulation'!$B$73,'Immobilien-Kalkulation'!$B$65))</f>
        <v>0</v>
      </c>
      <c r="D573" s="53">
        <f>IF(A573&gt;'Immobilien-Kalkulation'!$B$70*12,0,I572)</f>
        <v>0</v>
      </c>
      <c r="E573" s="53">
        <f>IF(OR(A573&gt;'Immobilien-Kalkulation'!$B$70*12,D573&lt;=0),0,IF(AND('Immobilien-Kalkulation'!$B$72=1,B573&gt;'Immobilien-Kalkulation'!$B$69),MIN(D573*C573/12+'Immobilien-Kalkulation'!$B$74/12,D573*(1+C573/12)),MIN('Immobilien-Kalkulation'!$B$67,D573*(1+C573/12))))</f>
        <v>0</v>
      </c>
      <c r="F573" s="53">
        <f>IF(OR(A573&gt;'Immobilien-Kalkulation'!$B$70*12,D573&lt;=0),0,D573*C573/12)</f>
        <v>0</v>
      </c>
      <c r="G573" s="53">
        <f>IF(OR(A573&gt;'Immobilien-Kalkulation'!$B$70*12,D573&lt;=0),0,MAX(0,MIN(D573,E573-F573)))</f>
        <v>0</v>
      </c>
      <c r="H573" s="95">
        <v>0</v>
      </c>
      <c r="I573" s="53">
        <f>IF(A573&gt;'Immobilien-Kalkulation'!$B$70*12,0,MAX(0,D573-G573-J573))</f>
        <v>0</v>
      </c>
      <c r="J573" s="53">
        <f>IF(OR(A573&gt;'Immobilien-Kalkulation'!$B$70*12,D573&lt;=0),0,MIN(H573,MAX(0,D573-G573)))</f>
        <v>0</v>
      </c>
    </row>
    <row r="574" spans="1:10" x14ac:dyDescent="0.25">
      <c r="A574">
        <v>571</v>
      </c>
      <c r="B574">
        <f t="shared" si="8"/>
        <v>48</v>
      </c>
      <c r="C574" s="28">
        <f>IF(A574&gt;'Immobilien-Kalkulation'!$B$70*12,0,IF(AND('Immobilien-Kalkulation'!$B$72=1,B574&gt;'Immobilien-Kalkulation'!$B$69),'Immobilien-Kalkulation'!$B$73,'Immobilien-Kalkulation'!$B$65))</f>
        <v>0</v>
      </c>
      <c r="D574" s="53">
        <f>IF(A574&gt;'Immobilien-Kalkulation'!$B$70*12,0,I573)</f>
        <v>0</v>
      </c>
      <c r="E574" s="53">
        <f>IF(OR(A574&gt;'Immobilien-Kalkulation'!$B$70*12,D574&lt;=0),0,IF(AND('Immobilien-Kalkulation'!$B$72=1,B574&gt;'Immobilien-Kalkulation'!$B$69),MIN(D574*C574/12+'Immobilien-Kalkulation'!$B$74/12,D574*(1+C574/12)),MIN('Immobilien-Kalkulation'!$B$67,D574*(1+C574/12))))</f>
        <v>0</v>
      </c>
      <c r="F574" s="53">
        <f>IF(OR(A574&gt;'Immobilien-Kalkulation'!$B$70*12,D574&lt;=0),0,D574*C574/12)</f>
        <v>0</v>
      </c>
      <c r="G574" s="53">
        <f>IF(OR(A574&gt;'Immobilien-Kalkulation'!$B$70*12,D574&lt;=0),0,MAX(0,MIN(D574,E574-F574)))</f>
        <v>0</v>
      </c>
      <c r="H574" s="95">
        <v>0</v>
      </c>
      <c r="I574" s="53">
        <f>IF(A574&gt;'Immobilien-Kalkulation'!$B$70*12,0,MAX(0,D574-G574-J574))</f>
        <v>0</v>
      </c>
      <c r="J574" s="53">
        <f>IF(OR(A574&gt;'Immobilien-Kalkulation'!$B$70*12,D574&lt;=0),0,MIN(H574,MAX(0,D574-G574)))</f>
        <v>0</v>
      </c>
    </row>
    <row r="575" spans="1:10" x14ac:dyDescent="0.25">
      <c r="A575">
        <v>572</v>
      </c>
      <c r="B575">
        <f t="shared" si="8"/>
        <v>48</v>
      </c>
      <c r="C575" s="28">
        <f>IF(A575&gt;'Immobilien-Kalkulation'!$B$70*12,0,IF(AND('Immobilien-Kalkulation'!$B$72=1,B575&gt;'Immobilien-Kalkulation'!$B$69),'Immobilien-Kalkulation'!$B$73,'Immobilien-Kalkulation'!$B$65))</f>
        <v>0</v>
      </c>
      <c r="D575" s="53">
        <f>IF(A575&gt;'Immobilien-Kalkulation'!$B$70*12,0,I574)</f>
        <v>0</v>
      </c>
      <c r="E575" s="53">
        <f>IF(OR(A575&gt;'Immobilien-Kalkulation'!$B$70*12,D575&lt;=0),0,IF(AND('Immobilien-Kalkulation'!$B$72=1,B575&gt;'Immobilien-Kalkulation'!$B$69),MIN(D575*C575/12+'Immobilien-Kalkulation'!$B$74/12,D575*(1+C575/12)),MIN('Immobilien-Kalkulation'!$B$67,D575*(1+C575/12))))</f>
        <v>0</v>
      </c>
      <c r="F575" s="53">
        <f>IF(OR(A575&gt;'Immobilien-Kalkulation'!$B$70*12,D575&lt;=0),0,D575*C575/12)</f>
        <v>0</v>
      </c>
      <c r="G575" s="53">
        <f>IF(OR(A575&gt;'Immobilien-Kalkulation'!$B$70*12,D575&lt;=0),0,MAX(0,MIN(D575,E575-F575)))</f>
        <v>0</v>
      </c>
      <c r="H575" s="95">
        <v>0</v>
      </c>
      <c r="I575" s="53">
        <f>IF(A575&gt;'Immobilien-Kalkulation'!$B$70*12,0,MAX(0,D575-G575-J575))</f>
        <v>0</v>
      </c>
      <c r="J575" s="53">
        <f>IF(OR(A575&gt;'Immobilien-Kalkulation'!$B$70*12,D575&lt;=0),0,MIN(H575,MAX(0,D575-G575)))</f>
        <v>0</v>
      </c>
    </row>
    <row r="576" spans="1:10" x14ac:dyDescent="0.25">
      <c r="A576">
        <v>573</v>
      </c>
      <c r="B576">
        <f t="shared" si="8"/>
        <v>48</v>
      </c>
      <c r="C576" s="28">
        <f>IF(A576&gt;'Immobilien-Kalkulation'!$B$70*12,0,IF(AND('Immobilien-Kalkulation'!$B$72=1,B576&gt;'Immobilien-Kalkulation'!$B$69),'Immobilien-Kalkulation'!$B$73,'Immobilien-Kalkulation'!$B$65))</f>
        <v>0</v>
      </c>
      <c r="D576" s="53">
        <f>IF(A576&gt;'Immobilien-Kalkulation'!$B$70*12,0,I575)</f>
        <v>0</v>
      </c>
      <c r="E576" s="53">
        <f>IF(OR(A576&gt;'Immobilien-Kalkulation'!$B$70*12,D576&lt;=0),0,IF(AND('Immobilien-Kalkulation'!$B$72=1,B576&gt;'Immobilien-Kalkulation'!$B$69),MIN(D576*C576/12+'Immobilien-Kalkulation'!$B$74/12,D576*(1+C576/12)),MIN('Immobilien-Kalkulation'!$B$67,D576*(1+C576/12))))</f>
        <v>0</v>
      </c>
      <c r="F576" s="53">
        <f>IF(OR(A576&gt;'Immobilien-Kalkulation'!$B$70*12,D576&lt;=0),0,D576*C576/12)</f>
        <v>0</v>
      </c>
      <c r="G576" s="53">
        <f>IF(OR(A576&gt;'Immobilien-Kalkulation'!$B$70*12,D576&lt;=0),0,MAX(0,MIN(D576,E576-F576)))</f>
        <v>0</v>
      </c>
      <c r="H576" s="95">
        <v>0</v>
      </c>
      <c r="I576" s="53">
        <f>IF(A576&gt;'Immobilien-Kalkulation'!$B$70*12,0,MAX(0,D576-G576-J576))</f>
        <v>0</v>
      </c>
      <c r="J576" s="53">
        <f>IF(OR(A576&gt;'Immobilien-Kalkulation'!$B$70*12,D576&lt;=0),0,MIN(H576,MAX(0,D576-G576)))</f>
        <v>0</v>
      </c>
    </row>
    <row r="577" spans="1:10" x14ac:dyDescent="0.25">
      <c r="A577">
        <v>574</v>
      </c>
      <c r="B577">
        <f t="shared" si="8"/>
        <v>48</v>
      </c>
      <c r="C577" s="28">
        <f>IF(A577&gt;'Immobilien-Kalkulation'!$B$70*12,0,IF(AND('Immobilien-Kalkulation'!$B$72=1,B577&gt;'Immobilien-Kalkulation'!$B$69),'Immobilien-Kalkulation'!$B$73,'Immobilien-Kalkulation'!$B$65))</f>
        <v>0</v>
      </c>
      <c r="D577" s="53">
        <f>IF(A577&gt;'Immobilien-Kalkulation'!$B$70*12,0,I576)</f>
        <v>0</v>
      </c>
      <c r="E577" s="53">
        <f>IF(OR(A577&gt;'Immobilien-Kalkulation'!$B$70*12,D577&lt;=0),0,IF(AND('Immobilien-Kalkulation'!$B$72=1,B577&gt;'Immobilien-Kalkulation'!$B$69),MIN(D577*C577/12+'Immobilien-Kalkulation'!$B$74/12,D577*(1+C577/12)),MIN('Immobilien-Kalkulation'!$B$67,D577*(1+C577/12))))</f>
        <v>0</v>
      </c>
      <c r="F577" s="53">
        <f>IF(OR(A577&gt;'Immobilien-Kalkulation'!$B$70*12,D577&lt;=0),0,D577*C577/12)</f>
        <v>0</v>
      </c>
      <c r="G577" s="53">
        <f>IF(OR(A577&gt;'Immobilien-Kalkulation'!$B$70*12,D577&lt;=0),0,MAX(0,MIN(D577,E577-F577)))</f>
        <v>0</v>
      </c>
      <c r="H577" s="95">
        <v>0</v>
      </c>
      <c r="I577" s="53">
        <f>IF(A577&gt;'Immobilien-Kalkulation'!$B$70*12,0,MAX(0,D577-G577-J577))</f>
        <v>0</v>
      </c>
      <c r="J577" s="53">
        <f>IF(OR(A577&gt;'Immobilien-Kalkulation'!$B$70*12,D577&lt;=0),0,MIN(H577,MAX(0,D577-G577)))</f>
        <v>0</v>
      </c>
    </row>
    <row r="578" spans="1:10" x14ac:dyDescent="0.25">
      <c r="A578">
        <v>575</v>
      </c>
      <c r="B578">
        <f t="shared" si="8"/>
        <v>48</v>
      </c>
      <c r="C578" s="28">
        <f>IF(A578&gt;'Immobilien-Kalkulation'!$B$70*12,0,IF(AND('Immobilien-Kalkulation'!$B$72=1,B578&gt;'Immobilien-Kalkulation'!$B$69),'Immobilien-Kalkulation'!$B$73,'Immobilien-Kalkulation'!$B$65))</f>
        <v>0</v>
      </c>
      <c r="D578" s="53">
        <f>IF(A578&gt;'Immobilien-Kalkulation'!$B$70*12,0,I577)</f>
        <v>0</v>
      </c>
      <c r="E578" s="53">
        <f>IF(OR(A578&gt;'Immobilien-Kalkulation'!$B$70*12,D578&lt;=0),0,IF(AND('Immobilien-Kalkulation'!$B$72=1,B578&gt;'Immobilien-Kalkulation'!$B$69),MIN(D578*C578/12+'Immobilien-Kalkulation'!$B$74/12,D578*(1+C578/12)),MIN('Immobilien-Kalkulation'!$B$67,D578*(1+C578/12))))</f>
        <v>0</v>
      </c>
      <c r="F578" s="53">
        <f>IF(OR(A578&gt;'Immobilien-Kalkulation'!$B$70*12,D578&lt;=0),0,D578*C578/12)</f>
        <v>0</v>
      </c>
      <c r="G578" s="53">
        <f>IF(OR(A578&gt;'Immobilien-Kalkulation'!$B$70*12,D578&lt;=0),0,MAX(0,MIN(D578,E578-F578)))</f>
        <v>0</v>
      </c>
      <c r="H578" s="95">
        <v>0</v>
      </c>
      <c r="I578" s="53">
        <f>IF(A578&gt;'Immobilien-Kalkulation'!$B$70*12,0,MAX(0,D578-G578-J578))</f>
        <v>0</v>
      </c>
      <c r="J578" s="53">
        <f>IF(OR(A578&gt;'Immobilien-Kalkulation'!$B$70*12,D578&lt;=0),0,MIN(H578,MAX(0,D578-G578)))</f>
        <v>0</v>
      </c>
    </row>
    <row r="579" spans="1:10" x14ac:dyDescent="0.25">
      <c r="A579">
        <v>576</v>
      </c>
      <c r="B579">
        <f t="shared" si="8"/>
        <v>48</v>
      </c>
      <c r="C579" s="28">
        <f>IF(A579&gt;'Immobilien-Kalkulation'!$B$70*12,0,IF(AND('Immobilien-Kalkulation'!$B$72=1,B579&gt;'Immobilien-Kalkulation'!$B$69),'Immobilien-Kalkulation'!$B$73,'Immobilien-Kalkulation'!$B$65))</f>
        <v>0</v>
      </c>
      <c r="D579" s="53">
        <f>IF(A579&gt;'Immobilien-Kalkulation'!$B$70*12,0,I578)</f>
        <v>0</v>
      </c>
      <c r="E579" s="53">
        <f>IF(OR(A579&gt;'Immobilien-Kalkulation'!$B$70*12,D579&lt;=0),0,IF(AND('Immobilien-Kalkulation'!$B$72=1,B579&gt;'Immobilien-Kalkulation'!$B$69),MIN(D579*C579/12+'Immobilien-Kalkulation'!$B$74/12,D579*(1+C579/12)),MIN('Immobilien-Kalkulation'!$B$67,D579*(1+C579/12))))</f>
        <v>0</v>
      </c>
      <c r="F579" s="53">
        <f>IF(OR(A579&gt;'Immobilien-Kalkulation'!$B$70*12,D579&lt;=0),0,D579*C579/12)</f>
        <v>0</v>
      </c>
      <c r="G579" s="53">
        <f>IF(OR(A579&gt;'Immobilien-Kalkulation'!$B$70*12,D579&lt;=0),0,MAX(0,MIN(D579,E579-F579)))</f>
        <v>0</v>
      </c>
      <c r="H579" s="95">
        <v>0</v>
      </c>
      <c r="I579" s="53">
        <f>IF(A579&gt;'Immobilien-Kalkulation'!$B$70*12,0,MAX(0,D579-G579-J579))</f>
        <v>0</v>
      </c>
      <c r="J579" s="53">
        <f>IF(OR(A579&gt;'Immobilien-Kalkulation'!$B$70*12,D579&lt;=0),0,MIN(H579,MAX(0,D579-G579)))</f>
        <v>0</v>
      </c>
    </row>
    <row r="580" spans="1:10" x14ac:dyDescent="0.25">
      <c r="A580">
        <v>577</v>
      </c>
      <c r="B580">
        <f t="shared" ref="B580:B643" si="9">INT((A580-1)/12)+1</f>
        <v>49</v>
      </c>
      <c r="C580" s="28">
        <f>IF(A580&gt;'Immobilien-Kalkulation'!$B$70*12,0,IF(AND('Immobilien-Kalkulation'!$B$72=1,B580&gt;'Immobilien-Kalkulation'!$B$69),'Immobilien-Kalkulation'!$B$73,'Immobilien-Kalkulation'!$B$65))</f>
        <v>0</v>
      </c>
      <c r="D580" s="53">
        <f>IF(A580&gt;'Immobilien-Kalkulation'!$B$70*12,0,I579)</f>
        <v>0</v>
      </c>
      <c r="E580" s="53">
        <f>IF(OR(A580&gt;'Immobilien-Kalkulation'!$B$70*12,D580&lt;=0),0,IF(AND('Immobilien-Kalkulation'!$B$72=1,B580&gt;'Immobilien-Kalkulation'!$B$69),MIN(D580*C580/12+'Immobilien-Kalkulation'!$B$74/12,D580*(1+C580/12)),MIN('Immobilien-Kalkulation'!$B$67,D580*(1+C580/12))))</f>
        <v>0</v>
      </c>
      <c r="F580" s="53">
        <f>IF(OR(A580&gt;'Immobilien-Kalkulation'!$B$70*12,D580&lt;=0),0,D580*C580/12)</f>
        <v>0</v>
      </c>
      <c r="G580" s="53">
        <f>IF(OR(A580&gt;'Immobilien-Kalkulation'!$B$70*12,D580&lt;=0),0,MAX(0,MIN(D580,E580-F580)))</f>
        <v>0</v>
      </c>
      <c r="H580" s="95">
        <v>0</v>
      </c>
      <c r="I580" s="53">
        <f>IF(A580&gt;'Immobilien-Kalkulation'!$B$70*12,0,MAX(0,D580-G580-J580))</f>
        <v>0</v>
      </c>
      <c r="J580" s="53">
        <f>IF(OR(A580&gt;'Immobilien-Kalkulation'!$B$70*12,D580&lt;=0),0,MIN(H580,MAX(0,D580-G580)))</f>
        <v>0</v>
      </c>
    </row>
    <row r="581" spans="1:10" x14ac:dyDescent="0.25">
      <c r="A581">
        <v>578</v>
      </c>
      <c r="B581">
        <f t="shared" si="9"/>
        <v>49</v>
      </c>
      <c r="C581" s="28">
        <f>IF(A581&gt;'Immobilien-Kalkulation'!$B$70*12,0,IF(AND('Immobilien-Kalkulation'!$B$72=1,B581&gt;'Immobilien-Kalkulation'!$B$69),'Immobilien-Kalkulation'!$B$73,'Immobilien-Kalkulation'!$B$65))</f>
        <v>0</v>
      </c>
      <c r="D581" s="53">
        <f>IF(A581&gt;'Immobilien-Kalkulation'!$B$70*12,0,I580)</f>
        <v>0</v>
      </c>
      <c r="E581" s="53">
        <f>IF(OR(A581&gt;'Immobilien-Kalkulation'!$B$70*12,D581&lt;=0),0,IF(AND('Immobilien-Kalkulation'!$B$72=1,B581&gt;'Immobilien-Kalkulation'!$B$69),MIN(D581*C581/12+'Immobilien-Kalkulation'!$B$74/12,D581*(1+C581/12)),MIN('Immobilien-Kalkulation'!$B$67,D581*(1+C581/12))))</f>
        <v>0</v>
      </c>
      <c r="F581" s="53">
        <f>IF(OR(A581&gt;'Immobilien-Kalkulation'!$B$70*12,D581&lt;=0),0,D581*C581/12)</f>
        <v>0</v>
      </c>
      <c r="G581" s="53">
        <f>IF(OR(A581&gt;'Immobilien-Kalkulation'!$B$70*12,D581&lt;=0),0,MAX(0,MIN(D581,E581-F581)))</f>
        <v>0</v>
      </c>
      <c r="H581" s="95">
        <v>0</v>
      </c>
      <c r="I581" s="53">
        <f>IF(A581&gt;'Immobilien-Kalkulation'!$B$70*12,0,MAX(0,D581-G581-J581))</f>
        <v>0</v>
      </c>
      <c r="J581" s="53">
        <f>IF(OR(A581&gt;'Immobilien-Kalkulation'!$B$70*12,D581&lt;=0),0,MIN(H581,MAX(0,D581-G581)))</f>
        <v>0</v>
      </c>
    </row>
    <row r="582" spans="1:10" x14ac:dyDescent="0.25">
      <c r="A582">
        <v>579</v>
      </c>
      <c r="B582">
        <f t="shared" si="9"/>
        <v>49</v>
      </c>
      <c r="C582" s="28">
        <f>IF(A582&gt;'Immobilien-Kalkulation'!$B$70*12,0,IF(AND('Immobilien-Kalkulation'!$B$72=1,B582&gt;'Immobilien-Kalkulation'!$B$69),'Immobilien-Kalkulation'!$B$73,'Immobilien-Kalkulation'!$B$65))</f>
        <v>0</v>
      </c>
      <c r="D582" s="53">
        <f>IF(A582&gt;'Immobilien-Kalkulation'!$B$70*12,0,I581)</f>
        <v>0</v>
      </c>
      <c r="E582" s="53">
        <f>IF(OR(A582&gt;'Immobilien-Kalkulation'!$B$70*12,D582&lt;=0),0,IF(AND('Immobilien-Kalkulation'!$B$72=1,B582&gt;'Immobilien-Kalkulation'!$B$69),MIN(D582*C582/12+'Immobilien-Kalkulation'!$B$74/12,D582*(1+C582/12)),MIN('Immobilien-Kalkulation'!$B$67,D582*(1+C582/12))))</f>
        <v>0</v>
      </c>
      <c r="F582" s="53">
        <f>IF(OR(A582&gt;'Immobilien-Kalkulation'!$B$70*12,D582&lt;=0),0,D582*C582/12)</f>
        <v>0</v>
      </c>
      <c r="G582" s="53">
        <f>IF(OR(A582&gt;'Immobilien-Kalkulation'!$B$70*12,D582&lt;=0),0,MAX(0,MIN(D582,E582-F582)))</f>
        <v>0</v>
      </c>
      <c r="H582" s="95">
        <v>0</v>
      </c>
      <c r="I582" s="53">
        <f>IF(A582&gt;'Immobilien-Kalkulation'!$B$70*12,0,MAX(0,D582-G582-J582))</f>
        <v>0</v>
      </c>
      <c r="J582" s="53">
        <f>IF(OR(A582&gt;'Immobilien-Kalkulation'!$B$70*12,D582&lt;=0),0,MIN(H582,MAX(0,D582-G582)))</f>
        <v>0</v>
      </c>
    </row>
    <row r="583" spans="1:10" x14ac:dyDescent="0.25">
      <c r="A583">
        <v>580</v>
      </c>
      <c r="B583">
        <f t="shared" si="9"/>
        <v>49</v>
      </c>
      <c r="C583" s="28">
        <f>IF(A583&gt;'Immobilien-Kalkulation'!$B$70*12,0,IF(AND('Immobilien-Kalkulation'!$B$72=1,B583&gt;'Immobilien-Kalkulation'!$B$69),'Immobilien-Kalkulation'!$B$73,'Immobilien-Kalkulation'!$B$65))</f>
        <v>0</v>
      </c>
      <c r="D583" s="53">
        <f>IF(A583&gt;'Immobilien-Kalkulation'!$B$70*12,0,I582)</f>
        <v>0</v>
      </c>
      <c r="E583" s="53">
        <f>IF(OR(A583&gt;'Immobilien-Kalkulation'!$B$70*12,D583&lt;=0),0,IF(AND('Immobilien-Kalkulation'!$B$72=1,B583&gt;'Immobilien-Kalkulation'!$B$69),MIN(D583*C583/12+'Immobilien-Kalkulation'!$B$74/12,D583*(1+C583/12)),MIN('Immobilien-Kalkulation'!$B$67,D583*(1+C583/12))))</f>
        <v>0</v>
      </c>
      <c r="F583" s="53">
        <f>IF(OR(A583&gt;'Immobilien-Kalkulation'!$B$70*12,D583&lt;=0),0,D583*C583/12)</f>
        <v>0</v>
      </c>
      <c r="G583" s="53">
        <f>IF(OR(A583&gt;'Immobilien-Kalkulation'!$B$70*12,D583&lt;=0),0,MAX(0,MIN(D583,E583-F583)))</f>
        <v>0</v>
      </c>
      <c r="H583" s="95">
        <v>0</v>
      </c>
      <c r="I583" s="53">
        <f>IF(A583&gt;'Immobilien-Kalkulation'!$B$70*12,0,MAX(0,D583-G583-J583))</f>
        <v>0</v>
      </c>
      <c r="J583" s="53">
        <f>IF(OR(A583&gt;'Immobilien-Kalkulation'!$B$70*12,D583&lt;=0),0,MIN(H583,MAX(0,D583-G583)))</f>
        <v>0</v>
      </c>
    </row>
    <row r="584" spans="1:10" x14ac:dyDescent="0.25">
      <c r="A584">
        <v>581</v>
      </c>
      <c r="B584">
        <f t="shared" si="9"/>
        <v>49</v>
      </c>
      <c r="C584" s="28">
        <f>IF(A584&gt;'Immobilien-Kalkulation'!$B$70*12,0,IF(AND('Immobilien-Kalkulation'!$B$72=1,B584&gt;'Immobilien-Kalkulation'!$B$69),'Immobilien-Kalkulation'!$B$73,'Immobilien-Kalkulation'!$B$65))</f>
        <v>0</v>
      </c>
      <c r="D584" s="53">
        <f>IF(A584&gt;'Immobilien-Kalkulation'!$B$70*12,0,I583)</f>
        <v>0</v>
      </c>
      <c r="E584" s="53">
        <f>IF(OR(A584&gt;'Immobilien-Kalkulation'!$B$70*12,D584&lt;=0),0,IF(AND('Immobilien-Kalkulation'!$B$72=1,B584&gt;'Immobilien-Kalkulation'!$B$69),MIN(D584*C584/12+'Immobilien-Kalkulation'!$B$74/12,D584*(1+C584/12)),MIN('Immobilien-Kalkulation'!$B$67,D584*(1+C584/12))))</f>
        <v>0</v>
      </c>
      <c r="F584" s="53">
        <f>IF(OR(A584&gt;'Immobilien-Kalkulation'!$B$70*12,D584&lt;=0),0,D584*C584/12)</f>
        <v>0</v>
      </c>
      <c r="G584" s="53">
        <f>IF(OR(A584&gt;'Immobilien-Kalkulation'!$B$70*12,D584&lt;=0),0,MAX(0,MIN(D584,E584-F584)))</f>
        <v>0</v>
      </c>
      <c r="H584" s="95">
        <v>0</v>
      </c>
      <c r="I584" s="53">
        <f>IF(A584&gt;'Immobilien-Kalkulation'!$B$70*12,0,MAX(0,D584-G584-J584))</f>
        <v>0</v>
      </c>
      <c r="J584" s="53">
        <f>IF(OR(A584&gt;'Immobilien-Kalkulation'!$B$70*12,D584&lt;=0),0,MIN(H584,MAX(0,D584-G584)))</f>
        <v>0</v>
      </c>
    </row>
    <row r="585" spans="1:10" x14ac:dyDescent="0.25">
      <c r="A585">
        <v>582</v>
      </c>
      <c r="B585">
        <f t="shared" si="9"/>
        <v>49</v>
      </c>
      <c r="C585" s="28">
        <f>IF(A585&gt;'Immobilien-Kalkulation'!$B$70*12,0,IF(AND('Immobilien-Kalkulation'!$B$72=1,B585&gt;'Immobilien-Kalkulation'!$B$69),'Immobilien-Kalkulation'!$B$73,'Immobilien-Kalkulation'!$B$65))</f>
        <v>0</v>
      </c>
      <c r="D585" s="53">
        <f>IF(A585&gt;'Immobilien-Kalkulation'!$B$70*12,0,I584)</f>
        <v>0</v>
      </c>
      <c r="E585" s="53">
        <f>IF(OR(A585&gt;'Immobilien-Kalkulation'!$B$70*12,D585&lt;=0),0,IF(AND('Immobilien-Kalkulation'!$B$72=1,B585&gt;'Immobilien-Kalkulation'!$B$69),MIN(D585*C585/12+'Immobilien-Kalkulation'!$B$74/12,D585*(1+C585/12)),MIN('Immobilien-Kalkulation'!$B$67,D585*(1+C585/12))))</f>
        <v>0</v>
      </c>
      <c r="F585" s="53">
        <f>IF(OR(A585&gt;'Immobilien-Kalkulation'!$B$70*12,D585&lt;=0),0,D585*C585/12)</f>
        <v>0</v>
      </c>
      <c r="G585" s="53">
        <f>IF(OR(A585&gt;'Immobilien-Kalkulation'!$B$70*12,D585&lt;=0),0,MAX(0,MIN(D585,E585-F585)))</f>
        <v>0</v>
      </c>
      <c r="H585" s="95">
        <v>0</v>
      </c>
      <c r="I585" s="53">
        <f>IF(A585&gt;'Immobilien-Kalkulation'!$B$70*12,0,MAX(0,D585-G585-J585))</f>
        <v>0</v>
      </c>
      <c r="J585" s="53">
        <f>IF(OR(A585&gt;'Immobilien-Kalkulation'!$B$70*12,D585&lt;=0),0,MIN(H585,MAX(0,D585-G585)))</f>
        <v>0</v>
      </c>
    </row>
    <row r="586" spans="1:10" x14ac:dyDescent="0.25">
      <c r="A586">
        <v>583</v>
      </c>
      <c r="B586">
        <f t="shared" si="9"/>
        <v>49</v>
      </c>
      <c r="C586" s="28">
        <f>IF(A586&gt;'Immobilien-Kalkulation'!$B$70*12,0,IF(AND('Immobilien-Kalkulation'!$B$72=1,B586&gt;'Immobilien-Kalkulation'!$B$69),'Immobilien-Kalkulation'!$B$73,'Immobilien-Kalkulation'!$B$65))</f>
        <v>0</v>
      </c>
      <c r="D586" s="53">
        <f>IF(A586&gt;'Immobilien-Kalkulation'!$B$70*12,0,I585)</f>
        <v>0</v>
      </c>
      <c r="E586" s="53">
        <f>IF(OR(A586&gt;'Immobilien-Kalkulation'!$B$70*12,D586&lt;=0),0,IF(AND('Immobilien-Kalkulation'!$B$72=1,B586&gt;'Immobilien-Kalkulation'!$B$69),MIN(D586*C586/12+'Immobilien-Kalkulation'!$B$74/12,D586*(1+C586/12)),MIN('Immobilien-Kalkulation'!$B$67,D586*(1+C586/12))))</f>
        <v>0</v>
      </c>
      <c r="F586" s="53">
        <f>IF(OR(A586&gt;'Immobilien-Kalkulation'!$B$70*12,D586&lt;=0),0,D586*C586/12)</f>
        <v>0</v>
      </c>
      <c r="G586" s="53">
        <f>IF(OR(A586&gt;'Immobilien-Kalkulation'!$B$70*12,D586&lt;=0),0,MAX(0,MIN(D586,E586-F586)))</f>
        <v>0</v>
      </c>
      <c r="H586" s="95">
        <v>0</v>
      </c>
      <c r="I586" s="53">
        <f>IF(A586&gt;'Immobilien-Kalkulation'!$B$70*12,0,MAX(0,D586-G586-J586))</f>
        <v>0</v>
      </c>
      <c r="J586" s="53">
        <f>IF(OR(A586&gt;'Immobilien-Kalkulation'!$B$70*12,D586&lt;=0),0,MIN(H586,MAX(0,D586-G586)))</f>
        <v>0</v>
      </c>
    </row>
    <row r="587" spans="1:10" x14ac:dyDescent="0.25">
      <c r="A587">
        <v>584</v>
      </c>
      <c r="B587">
        <f t="shared" si="9"/>
        <v>49</v>
      </c>
      <c r="C587" s="28">
        <f>IF(A587&gt;'Immobilien-Kalkulation'!$B$70*12,0,IF(AND('Immobilien-Kalkulation'!$B$72=1,B587&gt;'Immobilien-Kalkulation'!$B$69),'Immobilien-Kalkulation'!$B$73,'Immobilien-Kalkulation'!$B$65))</f>
        <v>0</v>
      </c>
      <c r="D587" s="53">
        <f>IF(A587&gt;'Immobilien-Kalkulation'!$B$70*12,0,I586)</f>
        <v>0</v>
      </c>
      <c r="E587" s="53">
        <f>IF(OR(A587&gt;'Immobilien-Kalkulation'!$B$70*12,D587&lt;=0),0,IF(AND('Immobilien-Kalkulation'!$B$72=1,B587&gt;'Immobilien-Kalkulation'!$B$69),MIN(D587*C587/12+'Immobilien-Kalkulation'!$B$74/12,D587*(1+C587/12)),MIN('Immobilien-Kalkulation'!$B$67,D587*(1+C587/12))))</f>
        <v>0</v>
      </c>
      <c r="F587" s="53">
        <f>IF(OR(A587&gt;'Immobilien-Kalkulation'!$B$70*12,D587&lt;=0),0,D587*C587/12)</f>
        <v>0</v>
      </c>
      <c r="G587" s="53">
        <f>IF(OR(A587&gt;'Immobilien-Kalkulation'!$B$70*12,D587&lt;=0),0,MAX(0,MIN(D587,E587-F587)))</f>
        <v>0</v>
      </c>
      <c r="H587" s="95">
        <v>0</v>
      </c>
      <c r="I587" s="53">
        <f>IF(A587&gt;'Immobilien-Kalkulation'!$B$70*12,0,MAX(0,D587-G587-J587))</f>
        <v>0</v>
      </c>
      <c r="J587" s="53">
        <f>IF(OR(A587&gt;'Immobilien-Kalkulation'!$B$70*12,D587&lt;=0),0,MIN(H587,MAX(0,D587-G587)))</f>
        <v>0</v>
      </c>
    </row>
    <row r="588" spans="1:10" x14ac:dyDescent="0.25">
      <c r="A588">
        <v>585</v>
      </c>
      <c r="B588">
        <f t="shared" si="9"/>
        <v>49</v>
      </c>
      <c r="C588" s="28">
        <f>IF(A588&gt;'Immobilien-Kalkulation'!$B$70*12,0,IF(AND('Immobilien-Kalkulation'!$B$72=1,B588&gt;'Immobilien-Kalkulation'!$B$69),'Immobilien-Kalkulation'!$B$73,'Immobilien-Kalkulation'!$B$65))</f>
        <v>0</v>
      </c>
      <c r="D588" s="53">
        <f>IF(A588&gt;'Immobilien-Kalkulation'!$B$70*12,0,I587)</f>
        <v>0</v>
      </c>
      <c r="E588" s="53">
        <f>IF(OR(A588&gt;'Immobilien-Kalkulation'!$B$70*12,D588&lt;=0),0,IF(AND('Immobilien-Kalkulation'!$B$72=1,B588&gt;'Immobilien-Kalkulation'!$B$69),MIN(D588*C588/12+'Immobilien-Kalkulation'!$B$74/12,D588*(1+C588/12)),MIN('Immobilien-Kalkulation'!$B$67,D588*(1+C588/12))))</f>
        <v>0</v>
      </c>
      <c r="F588" s="53">
        <f>IF(OR(A588&gt;'Immobilien-Kalkulation'!$B$70*12,D588&lt;=0),0,D588*C588/12)</f>
        <v>0</v>
      </c>
      <c r="G588" s="53">
        <f>IF(OR(A588&gt;'Immobilien-Kalkulation'!$B$70*12,D588&lt;=0),0,MAX(0,MIN(D588,E588-F588)))</f>
        <v>0</v>
      </c>
      <c r="H588" s="95">
        <v>0</v>
      </c>
      <c r="I588" s="53">
        <f>IF(A588&gt;'Immobilien-Kalkulation'!$B$70*12,0,MAX(0,D588-G588-J588))</f>
        <v>0</v>
      </c>
      <c r="J588" s="53">
        <f>IF(OR(A588&gt;'Immobilien-Kalkulation'!$B$70*12,D588&lt;=0),0,MIN(H588,MAX(0,D588-G588)))</f>
        <v>0</v>
      </c>
    </row>
    <row r="589" spans="1:10" x14ac:dyDescent="0.25">
      <c r="A589">
        <v>586</v>
      </c>
      <c r="B589">
        <f t="shared" si="9"/>
        <v>49</v>
      </c>
      <c r="C589" s="28">
        <f>IF(A589&gt;'Immobilien-Kalkulation'!$B$70*12,0,IF(AND('Immobilien-Kalkulation'!$B$72=1,B589&gt;'Immobilien-Kalkulation'!$B$69),'Immobilien-Kalkulation'!$B$73,'Immobilien-Kalkulation'!$B$65))</f>
        <v>0</v>
      </c>
      <c r="D589" s="53">
        <f>IF(A589&gt;'Immobilien-Kalkulation'!$B$70*12,0,I588)</f>
        <v>0</v>
      </c>
      <c r="E589" s="53">
        <f>IF(OR(A589&gt;'Immobilien-Kalkulation'!$B$70*12,D589&lt;=0),0,IF(AND('Immobilien-Kalkulation'!$B$72=1,B589&gt;'Immobilien-Kalkulation'!$B$69),MIN(D589*C589/12+'Immobilien-Kalkulation'!$B$74/12,D589*(1+C589/12)),MIN('Immobilien-Kalkulation'!$B$67,D589*(1+C589/12))))</f>
        <v>0</v>
      </c>
      <c r="F589" s="53">
        <f>IF(OR(A589&gt;'Immobilien-Kalkulation'!$B$70*12,D589&lt;=0),0,D589*C589/12)</f>
        <v>0</v>
      </c>
      <c r="G589" s="53">
        <f>IF(OR(A589&gt;'Immobilien-Kalkulation'!$B$70*12,D589&lt;=0),0,MAX(0,MIN(D589,E589-F589)))</f>
        <v>0</v>
      </c>
      <c r="H589" s="95">
        <v>0</v>
      </c>
      <c r="I589" s="53">
        <f>IF(A589&gt;'Immobilien-Kalkulation'!$B$70*12,0,MAX(0,D589-G589-J589))</f>
        <v>0</v>
      </c>
      <c r="J589" s="53">
        <f>IF(OR(A589&gt;'Immobilien-Kalkulation'!$B$70*12,D589&lt;=0),0,MIN(H589,MAX(0,D589-G589)))</f>
        <v>0</v>
      </c>
    </row>
    <row r="590" spans="1:10" x14ac:dyDescent="0.25">
      <c r="A590">
        <v>587</v>
      </c>
      <c r="B590">
        <f t="shared" si="9"/>
        <v>49</v>
      </c>
      <c r="C590" s="28">
        <f>IF(A590&gt;'Immobilien-Kalkulation'!$B$70*12,0,IF(AND('Immobilien-Kalkulation'!$B$72=1,B590&gt;'Immobilien-Kalkulation'!$B$69),'Immobilien-Kalkulation'!$B$73,'Immobilien-Kalkulation'!$B$65))</f>
        <v>0</v>
      </c>
      <c r="D590" s="53">
        <f>IF(A590&gt;'Immobilien-Kalkulation'!$B$70*12,0,I589)</f>
        <v>0</v>
      </c>
      <c r="E590" s="53">
        <f>IF(OR(A590&gt;'Immobilien-Kalkulation'!$B$70*12,D590&lt;=0),0,IF(AND('Immobilien-Kalkulation'!$B$72=1,B590&gt;'Immobilien-Kalkulation'!$B$69),MIN(D590*C590/12+'Immobilien-Kalkulation'!$B$74/12,D590*(1+C590/12)),MIN('Immobilien-Kalkulation'!$B$67,D590*(1+C590/12))))</f>
        <v>0</v>
      </c>
      <c r="F590" s="53">
        <f>IF(OR(A590&gt;'Immobilien-Kalkulation'!$B$70*12,D590&lt;=0),0,D590*C590/12)</f>
        <v>0</v>
      </c>
      <c r="G590" s="53">
        <f>IF(OR(A590&gt;'Immobilien-Kalkulation'!$B$70*12,D590&lt;=0),0,MAX(0,MIN(D590,E590-F590)))</f>
        <v>0</v>
      </c>
      <c r="H590" s="95">
        <v>0</v>
      </c>
      <c r="I590" s="53">
        <f>IF(A590&gt;'Immobilien-Kalkulation'!$B$70*12,0,MAX(0,D590-G590-J590))</f>
        <v>0</v>
      </c>
      <c r="J590" s="53">
        <f>IF(OR(A590&gt;'Immobilien-Kalkulation'!$B$70*12,D590&lt;=0),0,MIN(H590,MAX(0,D590-G590)))</f>
        <v>0</v>
      </c>
    </row>
    <row r="591" spans="1:10" x14ac:dyDescent="0.25">
      <c r="A591">
        <v>588</v>
      </c>
      <c r="B591">
        <f t="shared" si="9"/>
        <v>49</v>
      </c>
      <c r="C591" s="28">
        <f>IF(A591&gt;'Immobilien-Kalkulation'!$B$70*12,0,IF(AND('Immobilien-Kalkulation'!$B$72=1,B591&gt;'Immobilien-Kalkulation'!$B$69),'Immobilien-Kalkulation'!$B$73,'Immobilien-Kalkulation'!$B$65))</f>
        <v>0</v>
      </c>
      <c r="D591" s="53">
        <f>IF(A591&gt;'Immobilien-Kalkulation'!$B$70*12,0,I590)</f>
        <v>0</v>
      </c>
      <c r="E591" s="53">
        <f>IF(OR(A591&gt;'Immobilien-Kalkulation'!$B$70*12,D591&lt;=0),0,IF(AND('Immobilien-Kalkulation'!$B$72=1,B591&gt;'Immobilien-Kalkulation'!$B$69),MIN(D591*C591/12+'Immobilien-Kalkulation'!$B$74/12,D591*(1+C591/12)),MIN('Immobilien-Kalkulation'!$B$67,D591*(1+C591/12))))</f>
        <v>0</v>
      </c>
      <c r="F591" s="53">
        <f>IF(OR(A591&gt;'Immobilien-Kalkulation'!$B$70*12,D591&lt;=0),0,D591*C591/12)</f>
        <v>0</v>
      </c>
      <c r="G591" s="53">
        <f>IF(OR(A591&gt;'Immobilien-Kalkulation'!$B$70*12,D591&lt;=0),0,MAX(0,MIN(D591,E591-F591)))</f>
        <v>0</v>
      </c>
      <c r="H591" s="95">
        <v>0</v>
      </c>
      <c r="I591" s="53">
        <f>IF(A591&gt;'Immobilien-Kalkulation'!$B$70*12,0,MAX(0,D591-G591-J591))</f>
        <v>0</v>
      </c>
      <c r="J591" s="53">
        <f>IF(OR(A591&gt;'Immobilien-Kalkulation'!$B$70*12,D591&lt;=0),0,MIN(H591,MAX(0,D591-G591)))</f>
        <v>0</v>
      </c>
    </row>
    <row r="592" spans="1:10" x14ac:dyDescent="0.25">
      <c r="A592">
        <v>589</v>
      </c>
      <c r="B592">
        <f t="shared" si="9"/>
        <v>50</v>
      </c>
      <c r="C592" s="28">
        <f>IF(A592&gt;'Immobilien-Kalkulation'!$B$70*12,0,IF(AND('Immobilien-Kalkulation'!$B$72=1,B592&gt;'Immobilien-Kalkulation'!$B$69),'Immobilien-Kalkulation'!$B$73,'Immobilien-Kalkulation'!$B$65))</f>
        <v>0</v>
      </c>
      <c r="D592" s="53">
        <f>IF(A592&gt;'Immobilien-Kalkulation'!$B$70*12,0,I591)</f>
        <v>0</v>
      </c>
      <c r="E592" s="53">
        <f>IF(OR(A592&gt;'Immobilien-Kalkulation'!$B$70*12,D592&lt;=0),0,IF(AND('Immobilien-Kalkulation'!$B$72=1,B592&gt;'Immobilien-Kalkulation'!$B$69),MIN(D592*C592/12+'Immobilien-Kalkulation'!$B$74/12,D592*(1+C592/12)),MIN('Immobilien-Kalkulation'!$B$67,D592*(1+C592/12))))</f>
        <v>0</v>
      </c>
      <c r="F592" s="53">
        <f>IF(OR(A592&gt;'Immobilien-Kalkulation'!$B$70*12,D592&lt;=0),0,D592*C592/12)</f>
        <v>0</v>
      </c>
      <c r="G592" s="53">
        <f>IF(OR(A592&gt;'Immobilien-Kalkulation'!$B$70*12,D592&lt;=0),0,MAX(0,MIN(D592,E592-F592)))</f>
        <v>0</v>
      </c>
      <c r="H592" s="95">
        <v>0</v>
      </c>
      <c r="I592" s="53">
        <f>IF(A592&gt;'Immobilien-Kalkulation'!$B$70*12,0,MAX(0,D592-G592-J592))</f>
        <v>0</v>
      </c>
      <c r="J592" s="53">
        <f>IF(OR(A592&gt;'Immobilien-Kalkulation'!$B$70*12,D592&lt;=0),0,MIN(H592,MAX(0,D592-G592)))</f>
        <v>0</v>
      </c>
    </row>
    <row r="593" spans="1:10" x14ac:dyDescent="0.25">
      <c r="A593">
        <v>590</v>
      </c>
      <c r="B593">
        <f t="shared" si="9"/>
        <v>50</v>
      </c>
      <c r="C593" s="28">
        <f>IF(A593&gt;'Immobilien-Kalkulation'!$B$70*12,0,IF(AND('Immobilien-Kalkulation'!$B$72=1,B593&gt;'Immobilien-Kalkulation'!$B$69),'Immobilien-Kalkulation'!$B$73,'Immobilien-Kalkulation'!$B$65))</f>
        <v>0</v>
      </c>
      <c r="D593" s="53">
        <f>IF(A593&gt;'Immobilien-Kalkulation'!$B$70*12,0,I592)</f>
        <v>0</v>
      </c>
      <c r="E593" s="53">
        <f>IF(OR(A593&gt;'Immobilien-Kalkulation'!$B$70*12,D593&lt;=0),0,IF(AND('Immobilien-Kalkulation'!$B$72=1,B593&gt;'Immobilien-Kalkulation'!$B$69),MIN(D593*C593/12+'Immobilien-Kalkulation'!$B$74/12,D593*(1+C593/12)),MIN('Immobilien-Kalkulation'!$B$67,D593*(1+C593/12))))</f>
        <v>0</v>
      </c>
      <c r="F593" s="53">
        <f>IF(OR(A593&gt;'Immobilien-Kalkulation'!$B$70*12,D593&lt;=0),0,D593*C593/12)</f>
        <v>0</v>
      </c>
      <c r="G593" s="53">
        <f>IF(OR(A593&gt;'Immobilien-Kalkulation'!$B$70*12,D593&lt;=0),0,MAX(0,MIN(D593,E593-F593)))</f>
        <v>0</v>
      </c>
      <c r="H593" s="95">
        <v>0</v>
      </c>
      <c r="I593" s="53">
        <f>IF(A593&gt;'Immobilien-Kalkulation'!$B$70*12,0,MAX(0,D593-G593-J593))</f>
        <v>0</v>
      </c>
      <c r="J593" s="53">
        <f>IF(OR(A593&gt;'Immobilien-Kalkulation'!$B$70*12,D593&lt;=0),0,MIN(H593,MAX(0,D593-G593)))</f>
        <v>0</v>
      </c>
    </row>
    <row r="594" spans="1:10" x14ac:dyDescent="0.25">
      <c r="A594">
        <v>591</v>
      </c>
      <c r="B594">
        <f t="shared" si="9"/>
        <v>50</v>
      </c>
      <c r="C594" s="28">
        <f>IF(A594&gt;'Immobilien-Kalkulation'!$B$70*12,0,IF(AND('Immobilien-Kalkulation'!$B$72=1,B594&gt;'Immobilien-Kalkulation'!$B$69),'Immobilien-Kalkulation'!$B$73,'Immobilien-Kalkulation'!$B$65))</f>
        <v>0</v>
      </c>
      <c r="D594" s="53">
        <f>IF(A594&gt;'Immobilien-Kalkulation'!$B$70*12,0,I593)</f>
        <v>0</v>
      </c>
      <c r="E594" s="53">
        <f>IF(OR(A594&gt;'Immobilien-Kalkulation'!$B$70*12,D594&lt;=0),0,IF(AND('Immobilien-Kalkulation'!$B$72=1,B594&gt;'Immobilien-Kalkulation'!$B$69),MIN(D594*C594/12+'Immobilien-Kalkulation'!$B$74/12,D594*(1+C594/12)),MIN('Immobilien-Kalkulation'!$B$67,D594*(1+C594/12))))</f>
        <v>0</v>
      </c>
      <c r="F594" s="53">
        <f>IF(OR(A594&gt;'Immobilien-Kalkulation'!$B$70*12,D594&lt;=0),0,D594*C594/12)</f>
        <v>0</v>
      </c>
      <c r="G594" s="53">
        <f>IF(OR(A594&gt;'Immobilien-Kalkulation'!$B$70*12,D594&lt;=0),0,MAX(0,MIN(D594,E594-F594)))</f>
        <v>0</v>
      </c>
      <c r="H594" s="95">
        <v>0</v>
      </c>
      <c r="I594" s="53">
        <f>IF(A594&gt;'Immobilien-Kalkulation'!$B$70*12,0,MAX(0,D594-G594-J594))</f>
        <v>0</v>
      </c>
      <c r="J594" s="53">
        <f>IF(OR(A594&gt;'Immobilien-Kalkulation'!$B$70*12,D594&lt;=0),0,MIN(H594,MAX(0,D594-G594)))</f>
        <v>0</v>
      </c>
    </row>
    <row r="595" spans="1:10" x14ac:dyDescent="0.25">
      <c r="A595">
        <v>592</v>
      </c>
      <c r="B595">
        <f t="shared" si="9"/>
        <v>50</v>
      </c>
      <c r="C595" s="28">
        <f>IF(A595&gt;'Immobilien-Kalkulation'!$B$70*12,0,IF(AND('Immobilien-Kalkulation'!$B$72=1,B595&gt;'Immobilien-Kalkulation'!$B$69),'Immobilien-Kalkulation'!$B$73,'Immobilien-Kalkulation'!$B$65))</f>
        <v>0</v>
      </c>
      <c r="D595" s="53">
        <f>IF(A595&gt;'Immobilien-Kalkulation'!$B$70*12,0,I594)</f>
        <v>0</v>
      </c>
      <c r="E595" s="53">
        <f>IF(OR(A595&gt;'Immobilien-Kalkulation'!$B$70*12,D595&lt;=0),0,IF(AND('Immobilien-Kalkulation'!$B$72=1,B595&gt;'Immobilien-Kalkulation'!$B$69),MIN(D595*C595/12+'Immobilien-Kalkulation'!$B$74/12,D595*(1+C595/12)),MIN('Immobilien-Kalkulation'!$B$67,D595*(1+C595/12))))</f>
        <v>0</v>
      </c>
      <c r="F595" s="53">
        <f>IF(OR(A595&gt;'Immobilien-Kalkulation'!$B$70*12,D595&lt;=0),0,D595*C595/12)</f>
        <v>0</v>
      </c>
      <c r="G595" s="53">
        <f>IF(OR(A595&gt;'Immobilien-Kalkulation'!$B$70*12,D595&lt;=0),0,MAX(0,MIN(D595,E595-F595)))</f>
        <v>0</v>
      </c>
      <c r="H595" s="95">
        <v>0</v>
      </c>
      <c r="I595" s="53">
        <f>IF(A595&gt;'Immobilien-Kalkulation'!$B$70*12,0,MAX(0,D595-G595-J595))</f>
        <v>0</v>
      </c>
      <c r="J595" s="53">
        <f>IF(OR(A595&gt;'Immobilien-Kalkulation'!$B$70*12,D595&lt;=0),0,MIN(H595,MAX(0,D595-G595)))</f>
        <v>0</v>
      </c>
    </row>
    <row r="596" spans="1:10" x14ac:dyDescent="0.25">
      <c r="A596">
        <v>593</v>
      </c>
      <c r="B596">
        <f t="shared" si="9"/>
        <v>50</v>
      </c>
      <c r="C596" s="28">
        <f>IF(A596&gt;'Immobilien-Kalkulation'!$B$70*12,0,IF(AND('Immobilien-Kalkulation'!$B$72=1,B596&gt;'Immobilien-Kalkulation'!$B$69),'Immobilien-Kalkulation'!$B$73,'Immobilien-Kalkulation'!$B$65))</f>
        <v>0</v>
      </c>
      <c r="D596" s="53">
        <f>IF(A596&gt;'Immobilien-Kalkulation'!$B$70*12,0,I595)</f>
        <v>0</v>
      </c>
      <c r="E596" s="53">
        <f>IF(OR(A596&gt;'Immobilien-Kalkulation'!$B$70*12,D596&lt;=0),0,IF(AND('Immobilien-Kalkulation'!$B$72=1,B596&gt;'Immobilien-Kalkulation'!$B$69),MIN(D596*C596/12+'Immobilien-Kalkulation'!$B$74/12,D596*(1+C596/12)),MIN('Immobilien-Kalkulation'!$B$67,D596*(1+C596/12))))</f>
        <v>0</v>
      </c>
      <c r="F596" s="53">
        <f>IF(OR(A596&gt;'Immobilien-Kalkulation'!$B$70*12,D596&lt;=0),0,D596*C596/12)</f>
        <v>0</v>
      </c>
      <c r="G596" s="53">
        <f>IF(OR(A596&gt;'Immobilien-Kalkulation'!$B$70*12,D596&lt;=0),0,MAX(0,MIN(D596,E596-F596)))</f>
        <v>0</v>
      </c>
      <c r="H596" s="95">
        <v>0</v>
      </c>
      <c r="I596" s="53">
        <f>IF(A596&gt;'Immobilien-Kalkulation'!$B$70*12,0,MAX(0,D596-G596-J596))</f>
        <v>0</v>
      </c>
      <c r="J596" s="53">
        <f>IF(OR(A596&gt;'Immobilien-Kalkulation'!$B$70*12,D596&lt;=0),0,MIN(H596,MAX(0,D596-G596)))</f>
        <v>0</v>
      </c>
    </row>
    <row r="597" spans="1:10" x14ac:dyDescent="0.25">
      <c r="A597">
        <v>594</v>
      </c>
      <c r="B597">
        <f t="shared" si="9"/>
        <v>50</v>
      </c>
      <c r="C597" s="28">
        <f>IF(A597&gt;'Immobilien-Kalkulation'!$B$70*12,0,IF(AND('Immobilien-Kalkulation'!$B$72=1,B597&gt;'Immobilien-Kalkulation'!$B$69),'Immobilien-Kalkulation'!$B$73,'Immobilien-Kalkulation'!$B$65))</f>
        <v>0</v>
      </c>
      <c r="D597" s="53">
        <f>IF(A597&gt;'Immobilien-Kalkulation'!$B$70*12,0,I596)</f>
        <v>0</v>
      </c>
      <c r="E597" s="53">
        <f>IF(OR(A597&gt;'Immobilien-Kalkulation'!$B$70*12,D597&lt;=0),0,IF(AND('Immobilien-Kalkulation'!$B$72=1,B597&gt;'Immobilien-Kalkulation'!$B$69),MIN(D597*C597/12+'Immobilien-Kalkulation'!$B$74/12,D597*(1+C597/12)),MIN('Immobilien-Kalkulation'!$B$67,D597*(1+C597/12))))</f>
        <v>0</v>
      </c>
      <c r="F597" s="53">
        <f>IF(OR(A597&gt;'Immobilien-Kalkulation'!$B$70*12,D597&lt;=0),0,D597*C597/12)</f>
        <v>0</v>
      </c>
      <c r="G597" s="53">
        <f>IF(OR(A597&gt;'Immobilien-Kalkulation'!$B$70*12,D597&lt;=0),0,MAX(0,MIN(D597,E597-F597)))</f>
        <v>0</v>
      </c>
      <c r="H597" s="95">
        <v>0</v>
      </c>
      <c r="I597" s="53">
        <f>IF(A597&gt;'Immobilien-Kalkulation'!$B$70*12,0,MAX(0,D597-G597-J597))</f>
        <v>0</v>
      </c>
      <c r="J597" s="53">
        <f>IF(OR(A597&gt;'Immobilien-Kalkulation'!$B$70*12,D597&lt;=0),0,MIN(H597,MAX(0,D597-G597)))</f>
        <v>0</v>
      </c>
    </row>
    <row r="598" spans="1:10" x14ac:dyDescent="0.25">
      <c r="A598">
        <v>595</v>
      </c>
      <c r="B598">
        <f t="shared" si="9"/>
        <v>50</v>
      </c>
      <c r="C598" s="28">
        <f>IF(A598&gt;'Immobilien-Kalkulation'!$B$70*12,0,IF(AND('Immobilien-Kalkulation'!$B$72=1,B598&gt;'Immobilien-Kalkulation'!$B$69),'Immobilien-Kalkulation'!$B$73,'Immobilien-Kalkulation'!$B$65))</f>
        <v>0</v>
      </c>
      <c r="D598" s="53">
        <f>IF(A598&gt;'Immobilien-Kalkulation'!$B$70*12,0,I597)</f>
        <v>0</v>
      </c>
      <c r="E598" s="53">
        <f>IF(OR(A598&gt;'Immobilien-Kalkulation'!$B$70*12,D598&lt;=0),0,IF(AND('Immobilien-Kalkulation'!$B$72=1,B598&gt;'Immobilien-Kalkulation'!$B$69),MIN(D598*C598/12+'Immobilien-Kalkulation'!$B$74/12,D598*(1+C598/12)),MIN('Immobilien-Kalkulation'!$B$67,D598*(1+C598/12))))</f>
        <v>0</v>
      </c>
      <c r="F598" s="53">
        <f>IF(OR(A598&gt;'Immobilien-Kalkulation'!$B$70*12,D598&lt;=0),0,D598*C598/12)</f>
        <v>0</v>
      </c>
      <c r="G598" s="53">
        <f>IF(OR(A598&gt;'Immobilien-Kalkulation'!$B$70*12,D598&lt;=0),0,MAX(0,MIN(D598,E598-F598)))</f>
        <v>0</v>
      </c>
      <c r="H598" s="95">
        <v>0</v>
      </c>
      <c r="I598" s="53">
        <f>IF(A598&gt;'Immobilien-Kalkulation'!$B$70*12,0,MAX(0,D598-G598-J598))</f>
        <v>0</v>
      </c>
      <c r="J598" s="53">
        <f>IF(OR(A598&gt;'Immobilien-Kalkulation'!$B$70*12,D598&lt;=0),0,MIN(H598,MAX(0,D598-G598)))</f>
        <v>0</v>
      </c>
    </row>
    <row r="599" spans="1:10" x14ac:dyDescent="0.25">
      <c r="A599">
        <v>596</v>
      </c>
      <c r="B599">
        <f t="shared" si="9"/>
        <v>50</v>
      </c>
      <c r="C599" s="28">
        <f>IF(A599&gt;'Immobilien-Kalkulation'!$B$70*12,0,IF(AND('Immobilien-Kalkulation'!$B$72=1,B599&gt;'Immobilien-Kalkulation'!$B$69),'Immobilien-Kalkulation'!$B$73,'Immobilien-Kalkulation'!$B$65))</f>
        <v>0</v>
      </c>
      <c r="D599" s="53">
        <f>IF(A599&gt;'Immobilien-Kalkulation'!$B$70*12,0,I598)</f>
        <v>0</v>
      </c>
      <c r="E599" s="53">
        <f>IF(OR(A599&gt;'Immobilien-Kalkulation'!$B$70*12,D599&lt;=0),0,IF(AND('Immobilien-Kalkulation'!$B$72=1,B599&gt;'Immobilien-Kalkulation'!$B$69),MIN(D599*C599/12+'Immobilien-Kalkulation'!$B$74/12,D599*(1+C599/12)),MIN('Immobilien-Kalkulation'!$B$67,D599*(1+C599/12))))</f>
        <v>0</v>
      </c>
      <c r="F599" s="53">
        <f>IF(OR(A599&gt;'Immobilien-Kalkulation'!$B$70*12,D599&lt;=0),0,D599*C599/12)</f>
        <v>0</v>
      </c>
      <c r="G599" s="53">
        <f>IF(OR(A599&gt;'Immobilien-Kalkulation'!$B$70*12,D599&lt;=0),0,MAX(0,MIN(D599,E599-F599)))</f>
        <v>0</v>
      </c>
      <c r="H599" s="95">
        <v>0</v>
      </c>
      <c r="I599" s="53">
        <f>IF(A599&gt;'Immobilien-Kalkulation'!$B$70*12,0,MAX(0,D599-G599-J599))</f>
        <v>0</v>
      </c>
      <c r="J599" s="53">
        <f>IF(OR(A599&gt;'Immobilien-Kalkulation'!$B$70*12,D599&lt;=0),0,MIN(H599,MAX(0,D599-G599)))</f>
        <v>0</v>
      </c>
    </row>
    <row r="600" spans="1:10" x14ac:dyDescent="0.25">
      <c r="A600">
        <v>597</v>
      </c>
      <c r="B600">
        <f t="shared" si="9"/>
        <v>50</v>
      </c>
      <c r="C600" s="28">
        <f>IF(A600&gt;'Immobilien-Kalkulation'!$B$70*12,0,IF(AND('Immobilien-Kalkulation'!$B$72=1,B600&gt;'Immobilien-Kalkulation'!$B$69),'Immobilien-Kalkulation'!$B$73,'Immobilien-Kalkulation'!$B$65))</f>
        <v>0</v>
      </c>
      <c r="D600" s="53">
        <f>IF(A600&gt;'Immobilien-Kalkulation'!$B$70*12,0,I599)</f>
        <v>0</v>
      </c>
      <c r="E600" s="53">
        <f>IF(OR(A600&gt;'Immobilien-Kalkulation'!$B$70*12,D600&lt;=0),0,IF(AND('Immobilien-Kalkulation'!$B$72=1,B600&gt;'Immobilien-Kalkulation'!$B$69),MIN(D600*C600/12+'Immobilien-Kalkulation'!$B$74/12,D600*(1+C600/12)),MIN('Immobilien-Kalkulation'!$B$67,D600*(1+C600/12))))</f>
        <v>0</v>
      </c>
      <c r="F600" s="53">
        <f>IF(OR(A600&gt;'Immobilien-Kalkulation'!$B$70*12,D600&lt;=0),0,D600*C600/12)</f>
        <v>0</v>
      </c>
      <c r="G600" s="53">
        <f>IF(OR(A600&gt;'Immobilien-Kalkulation'!$B$70*12,D600&lt;=0),0,MAX(0,MIN(D600,E600-F600)))</f>
        <v>0</v>
      </c>
      <c r="H600" s="95">
        <v>0</v>
      </c>
      <c r="I600" s="53">
        <f>IF(A600&gt;'Immobilien-Kalkulation'!$B$70*12,0,MAX(0,D600-G600-J600))</f>
        <v>0</v>
      </c>
      <c r="J600" s="53">
        <f>IF(OR(A600&gt;'Immobilien-Kalkulation'!$B$70*12,D600&lt;=0),0,MIN(H600,MAX(0,D600-G600)))</f>
        <v>0</v>
      </c>
    </row>
    <row r="601" spans="1:10" x14ac:dyDescent="0.25">
      <c r="A601">
        <v>598</v>
      </c>
      <c r="B601">
        <f t="shared" si="9"/>
        <v>50</v>
      </c>
      <c r="C601" s="28">
        <f>IF(A601&gt;'Immobilien-Kalkulation'!$B$70*12,0,IF(AND('Immobilien-Kalkulation'!$B$72=1,B601&gt;'Immobilien-Kalkulation'!$B$69),'Immobilien-Kalkulation'!$B$73,'Immobilien-Kalkulation'!$B$65))</f>
        <v>0</v>
      </c>
      <c r="D601" s="53">
        <f>IF(A601&gt;'Immobilien-Kalkulation'!$B$70*12,0,I600)</f>
        <v>0</v>
      </c>
      <c r="E601" s="53">
        <f>IF(OR(A601&gt;'Immobilien-Kalkulation'!$B$70*12,D601&lt;=0),0,IF(AND('Immobilien-Kalkulation'!$B$72=1,B601&gt;'Immobilien-Kalkulation'!$B$69),MIN(D601*C601/12+'Immobilien-Kalkulation'!$B$74/12,D601*(1+C601/12)),MIN('Immobilien-Kalkulation'!$B$67,D601*(1+C601/12))))</f>
        <v>0</v>
      </c>
      <c r="F601" s="53">
        <f>IF(OR(A601&gt;'Immobilien-Kalkulation'!$B$70*12,D601&lt;=0),0,D601*C601/12)</f>
        <v>0</v>
      </c>
      <c r="G601" s="53">
        <f>IF(OR(A601&gt;'Immobilien-Kalkulation'!$B$70*12,D601&lt;=0),0,MAX(0,MIN(D601,E601-F601)))</f>
        <v>0</v>
      </c>
      <c r="H601" s="95">
        <v>0</v>
      </c>
      <c r="I601" s="53">
        <f>IF(A601&gt;'Immobilien-Kalkulation'!$B$70*12,0,MAX(0,D601-G601-J601))</f>
        <v>0</v>
      </c>
      <c r="J601" s="53">
        <f>IF(OR(A601&gt;'Immobilien-Kalkulation'!$B$70*12,D601&lt;=0),0,MIN(H601,MAX(0,D601-G601)))</f>
        <v>0</v>
      </c>
    </row>
    <row r="602" spans="1:10" x14ac:dyDescent="0.25">
      <c r="A602">
        <v>599</v>
      </c>
      <c r="B602">
        <f t="shared" si="9"/>
        <v>50</v>
      </c>
      <c r="C602" s="28">
        <f>IF(A602&gt;'Immobilien-Kalkulation'!$B$70*12,0,IF(AND('Immobilien-Kalkulation'!$B$72=1,B602&gt;'Immobilien-Kalkulation'!$B$69),'Immobilien-Kalkulation'!$B$73,'Immobilien-Kalkulation'!$B$65))</f>
        <v>0</v>
      </c>
      <c r="D602" s="53">
        <f>IF(A602&gt;'Immobilien-Kalkulation'!$B$70*12,0,I601)</f>
        <v>0</v>
      </c>
      <c r="E602" s="53">
        <f>IF(OR(A602&gt;'Immobilien-Kalkulation'!$B$70*12,D602&lt;=0),0,IF(AND('Immobilien-Kalkulation'!$B$72=1,B602&gt;'Immobilien-Kalkulation'!$B$69),MIN(D602*C602/12+'Immobilien-Kalkulation'!$B$74/12,D602*(1+C602/12)),MIN('Immobilien-Kalkulation'!$B$67,D602*(1+C602/12))))</f>
        <v>0</v>
      </c>
      <c r="F602" s="53">
        <f>IF(OR(A602&gt;'Immobilien-Kalkulation'!$B$70*12,D602&lt;=0),0,D602*C602/12)</f>
        <v>0</v>
      </c>
      <c r="G602" s="53">
        <f>IF(OR(A602&gt;'Immobilien-Kalkulation'!$B$70*12,D602&lt;=0),0,MAX(0,MIN(D602,E602-F602)))</f>
        <v>0</v>
      </c>
      <c r="H602" s="95">
        <v>0</v>
      </c>
      <c r="I602" s="53">
        <f>IF(A602&gt;'Immobilien-Kalkulation'!$B$70*12,0,MAX(0,D602-G602-J602))</f>
        <v>0</v>
      </c>
      <c r="J602" s="53">
        <f>IF(OR(A602&gt;'Immobilien-Kalkulation'!$B$70*12,D602&lt;=0),0,MIN(H602,MAX(0,D602-G602)))</f>
        <v>0</v>
      </c>
    </row>
    <row r="603" spans="1:10" x14ac:dyDescent="0.25">
      <c r="A603">
        <v>600</v>
      </c>
      <c r="B603">
        <f t="shared" si="9"/>
        <v>50</v>
      </c>
      <c r="C603" s="28">
        <f>IF(A603&gt;'Immobilien-Kalkulation'!$B$70*12,0,IF(AND('Immobilien-Kalkulation'!$B$72=1,B603&gt;'Immobilien-Kalkulation'!$B$69),'Immobilien-Kalkulation'!$B$73,'Immobilien-Kalkulation'!$B$65))</f>
        <v>0</v>
      </c>
      <c r="D603" s="53">
        <f>IF(A603&gt;'Immobilien-Kalkulation'!$B$70*12,0,I602)</f>
        <v>0</v>
      </c>
      <c r="E603" s="53">
        <f>IF(OR(A603&gt;'Immobilien-Kalkulation'!$B$70*12,D603&lt;=0),0,IF(AND('Immobilien-Kalkulation'!$B$72=1,B603&gt;'Immobilien-Kalkulation'!$B$69),MIN(D603*C603/12+'Immobilien-Kalkulation'!$B$74/12,D603*(1+C603/12)),MIN('Immobilien-Kalkulation'!$B$67,D603*(1+C603/12))))</f>
        <v>0</v>
      </c>
      <c r="F603" s="53">
        <f>IF(OR(A603&gt;'Immobilien-Kalkulation'!$B$70*12,D603&lt;=0),0,D603*C603/12)</f>
        <v>0</v>
      </c>
      <c r="G603" s="53">
        <f>IF(OR(A603&gt;'Immobilien-Kalkulation'!$B$70*12,D603&lt;=0),0,MAX(0,MIN(D603,E603-F603)))</f>
        <v>0</v>
      </c>
      <c r="H603" s="95">
        <v>0</v>
      </c>
      <c r="I603" s="53">
        <f>IF(A603&gt;'Immobilien-Kalkulation'!$B$70*12,0,MAX(0,D603-G603-J603))</f>
        <v>0</v>
      </c>
      <c r="J603" s="53">
        <f>IF(OR(A603&gt;'Immobilien-Kalkulation'!$B$70*12,D603&lt;=0),0,MIN(H603,MAX(0,D603-G603)))</f>
        <v>0</v>
      </c>
    </row>
  </sheetData>
  <autoFilter ref="A3:I603" xr:uid="{00000000-0009-0000-0000-000007000000}"/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Dashboard</vt:lpstr>
      <vt:lpstr>Immobilien-Kalkulation</vt:lpstr>
      <vt:lpstr>Szenarien</vt:lpstr>
      <vt:lpstr>Zinstest</vt:lpstr>
      <vt:lpstr>Exit-Analyse</vt:lpstr>
      <vt:lpstr>EK-Optimierung</vt:lpstr>
      <vt:lpstr>Realwert-Analyse</vt:lpstr>
      <vt:lpstr>Tilgungsplan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Simon Stark</cp:lastModifiedBy>
  <cp:revision>8</cp:revision>
  <dcterms:created xsi:type="dcterms:W3CDTF">2026-05-18T16:59:01Z</dcterms:created>
  <dcterms:modified xsi:type="dcterms:W3CDTF">2026-08-07T11:08:51Z</dcterms:modified>
  <dc:language>de-DE</dc:language>
</cp:coreProperties>
</file>