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2.xml" ContentType="application/vnd.openxmlformats-officedocument.drawing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simon\Desktop\Project DoubleUp\smstark-projekt.de\data\"/>
    </mc:Choice>
  </mc:AlternateContent>
  <xr:revisionPtr revIDLastSave="0" documentId="13_ncr:1_{0A173766-8730-43D5-A5A8-E91AEF4A5D32}" xr6:coauthVersionLast="47" xr6:coauthVersionMax="47" xr10:uidLastSave="{00000000-0000-0000-0000-000000000000}"/>
  <bookViews>
    <workbookView xWindow="-120" yWindow="-120" windowWidth="29040" windowHeight="15720" tabRatio="753" activeTab="1" xr2:uid="{00000000-000D-0000-FFFF-FFFF00000000}"/>
  </bookViews>
  <sheets>
    <sheet name="Dashboard" sheetId="1" r:id="rId1"/>
    <sheet name="Immobilien-Kalkulation" sheetId="2" r:id="rId2"/>
    <sheet name="Szenarien" sheetId="3" r:id="rId3"/>
    <sheet name="Zinstest" sheetId="4" r:id="rId4"/>
    <sheet name="Exit-Analyse" sheetId="5" r:id="rId5"/>
    <sheet name="EK-Optimierung" sheetId="6" r:id="rId6"/>
    <sheet name="Realwert-Analyse" sheetId="7" r:id="rId7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AE8" i="7" l="1"/>
  <c r="AD8" i="7"/>
  <c r="AC8" i="7"/>
  <c r="AB8" i="7"/>
  <c r="AA8" i="7"/>
  <c r="Z8" i="7"/>
  <c r="Y8" i="7"/>
  <c r="X8" i="7"/>
  <c r="W8" i="7"/>
  <c r="V8" i="7"/>
  <c r="U8" i="7"/>
  <c r="T8" i="7"/>
  <c r="S8" i="7"/>
  <c r="R8" i="7"/>
  <c r="Q8" i="7"/>
  <c r="P8" i="7"/>
  <c r="O8" i="7"/>
  <c r="N8" i="7"/>
  <c r="M8" i="7"/>
  <c r="L8" i="7"/>
  <c r="K8" i="7"/>
  <c r="J8" i="7"/>
  <c r="I8" i="7"/>
  <c r="H8" i="7"/>
  <c r="G8" i="7"/>
  <c r="F8" i="7"/>
  <c r="E8" i="7"/>
  <c r="D8" i="7"/>
  <c r="C8" i="7"/>
  <c r="B8" i="7"/>
  <c r="B26" i="5"/>
  <c r="B23" i="5"/>
  <c r="B15" i="5"/>
  <c r="B8" i="5"/>
  <c r="B6" i="5"/>
  <c r="H6" i="4"/>
  <c r="G6" i="4"/>
  <c r="G17" i="1" s="1"/>
  <c r="F6" i="4"/>
  <c r="F17" i="1" s="1"/>
  <c r="E6" i="4"/>
  <c r="D6" i="4"/>
  <c r="C6" i="4"/>
  <c r="C17" i="1" s="1"/>
  <c r="B6" i="4"/>
  <c r="B17" i="1" s="1"/>
  <c r="D44" i="3"/>
  <c r="D37" i="3"/>
  <c r="C37" i="3"/>
  <c r="B37" i="3"/>
  <c r="D32" i="3"/>
  <c r="C32" i="3"/>
  <c r="D28" i="3"/>
  <c r="C28" i="3"/>
  <c r="B28" i="3"/>
  <c r="D27" i="3"/>
  <c r="C27" i="3"/>
  <c r="B27" i="3"/>
  <c r="D26" i="3"/>
  <c r="D48" i="3" s="1"/>
  <c r="C26" i="3"/>
  <c r="C48" i="3" s="1"/>
  <c r="B26" i="3"/>
  <c r="B48" i="3" s="1"/>
  <c r="D25" i="3"/>
  <c r="C25" i="3"/>
  <c r="B25" i="3"/>
  <c r="B24" i="3"/>
  <c r="D23" i="3"/>
  <c r="C23" i="3"/>
  <c r="B23" i="3"/>
  <c r="D22" i="3"/>
  <c r="C22" i="3"/>
  <c r="B22" i="3"/>
  <c r="D21" i="3"/>
  <c r="C21" i="3"/>
  <c r="B21" i="3"/>
  <c r="D20" i="3"/>
  <c r="C20" i="3"/>
  <c r="B20" i="3"/>
  <c r="B32" i="3" s="1"/>
  <c r="D19" i="3"/>
  <c r="C19" i="3"/>
  <c r="B19" i="3"/>
  <c r="D100" i="2"/>
  <c r="C100" i="2"/>
  <c r="B100" i="2"/>
  <c r="B92" i="2"/>
  <c r="B88" i="2"/>
  <c r="B73" i="2"/>
  <c r="A55" i="2"/>
  <c r="B54" i="2"/>
  <c r="B51" i="2"/>
  <c r="B47" i="2"/>
  <c r="B49" i="2" s="1"/>
  <c r="B43" i="2"/>
  <c r="B41" i="2"/>
  <c r="B39" i="2"/>
  <c r="B37" i="2"/>
  <c r="B28" i="2"/>
  <c r="B21" i="2"/>
  <c r="B8" i="2" s="1"/>
  <c r="B18" i="2"/>
  <c r="B13" i="2"/>
  <c r="B4" i="5" s="1"/>
  <c r="B6" i="2"/>
  <c r="H17" i="1"/>
  <c r="E17" i="1"/>
  <c r="D17" i="1"/>
  <c r="B8" i="1"/>
  <c r="B6" i="1"/>
  <c r="B19" i="6" l="1"/>
  <c r="B17" i="6"/>
  <c r="B15" i="6"/>
  <c r="B13" i="6"/>
  <c r="B11" i="5"/>
  <c r="B25" i="5" s="1"/>
  <c r="B7" i="6"/>
  <c r="B8" i="6" s="1"/>
  <c r="B9" i="6" s="1"/>
  <c r="B6" i="6"/>
  <c r="C20" i="6"/>
  <c r="D20" i="6" s="1"/>
  <c r="E20" i="6" s="1"/>
  <c r="F20" i="6" s="1"/>
  <c r="C18" i="6"/>
  <c r="D18" i="6" s="1"/>
  <c r="E18" i="6" s="1"/>
  <c r="F18" i="6" s="1"/>
  <c r="B20" i="6"/>
  <c r="B18" i="6"/>
  <c r="B16" i="6"/>
  <c r="C16" i="6" s="1"/>
  <c r="D16" i="6" s="1"/>
  <c r="B14" i="6"/>
  <c r="C14" i="6" s="1"/>
  <c r="D14" i="6" s="1"/>
  <c r="D8" i="1"/>
  <c r="C19" i="6"/>
  <c r="D19" i="6" s="1"/>
  <c r="C17" i="6"/>
  <c r="D17" i="6" s="1"/>
  <c r="G17" i="6" s="1"/>
  <c r="C15" i="6"/>
  <c r="D15" i="6" s="1"/>
  <c r="G15" i="6" s="1"/>
  <c r="C13" i="6"/>
  <c r="D13" i="6" s="1"/>
  <c r="G13" i="6" s="1"/>
  <c r="D8" i="2"/>
  <c r="B62" i="2"/>
  <c r="B19" i="2"/>
  <c r="B60" i="2"/>
  <c r="C10" i="7"/>
  <c r="C11" i="7" s="1"/>
  <c r="B17" i="5"/>
  <c r="C33" i="3"/>
  <c r="C34" i="3" s="1"/>
  <c r="B48" i="2"/>
  <c r="B33" i="3"/>
  <c r="B34" i="3" s="1"/>
  <c r="B45" i="3"/>
  <c r="B44" i="3"/>
  <c r="C44" i="3"/>
  <c r="D33" i="3"/>
  <c r="D34" i="3" s="1"/>
  <c r="D10" i="7"/>
  <c r="D11" i="7" s="1"/>
  <c r="E100" i="2"/>
  <c r="E19" i="6"/>
  <c r="F19" i="6" s="1"/>
  <c r="B101" i="2"/>
  <c r="C101" i="2" s="1"/>
  <c r="D101" i="2" s="1"/>
  <c r="E101" i="2" s="1"/>
  <c r="F101" i="2" s="1"/>
  <c r="G101" i="2" s="1"/>
  <c r="H101" i="2" s="1"/>
  <c r="I101" i="2" s="1"/>
  <c r="J101" i="2" s="1"/>
  <c r="K101" i="2" s="1"/>
  <c r="L101" i="2" s="1"/>
  <c r="M101" i="2" s="1"/>
  <c r="N101" i="2" s="1"/>
  <c r="O101" i="2" s="1"/>
  <c r="P101" i="2" s="1"/>
  <c r="Q101" i="2" s="1"/>
  <c r="R101" i="2" s="1"/>
  <c r="S101" i="2" s="1"/>
  <c r="T101" i="2" s="1"/>
  <c r="U101" i="2" s="1"/>
  <c r="V101" i="2" s="1"/>
  <c r="W101" i="2" s="1"/>
  <c r="X101" i="2" s="1"/>
  <c r="Y101" i="2" s="1"/>
  <c r="Z101" i="2" s="1"/>
  <c r="AA101" i="2" s="1"/>
  <c r="AB101" i="2" s="1"/>
  <c r="AC101" i="2" s="1"/>
  <c r="AD101" i="2" s="1"/>
  <c r="AE101" i="2" s="1"/>
  <c r="C24" i="3"/>
  <c r="G19" i="6"/>
  <c r="D24" i="3"/>
  <c r="G20" i="6"/>
  <c r="B57" i="2"/>
  <c r="B94" i="2"/>
  <c r="E13" i="6" s="1"/>
  <c r="F13" i="6" s="1"/>
  <c r="B56" i="2"/>
  <c r="B53" i="2"/>
  <c r="B52" i="2"/>
  <c r="B76" i="2"/>
  <c r="B77" i="2"/>
  <c r="B27" i="5"/>
  <c r="B16" i="5"/>
  <c r="A33" i="5" s="1"/>
  <c r="B10" i="7"/>
  <c r="B11" i="7" s="1"/>
  <c r="E16" i="6" l="1"/>
  <c r="F16" i="6" s="1"/>
  <c r="G16" i="6"/>
  <c r="E14" i="6"/>
  <c r="F14" i="6" s="1"/>
  <c r="G14" i="6"/>
  <c r="D35" i="3"/>
  <c r="D39" i="3" s="1"/>
  <c r="D49" i="3" s="1"/>
  <c r="D13" i="1" s="1"/>
  <c r="D36" i="3"/>
  <c r="D38" i="3" s="1"/>
  <c r="D43" i="3"/>
  <c r="D47" i="3"/>
  <c r="G18" i="6"/>
  <c r="F100" i="2"/>
  <c r="E10" i="7"/>
  <c r="E11" i="7" s="1"/>
  <c r="E15" i="6"/>
  <c r="F15" i="6" s="1"/>
  <c r="C35" i="3"/>
  <c r="C43" i="3" s="1"/>
  <c r="C36" i="3"/>
  <c r="C38" i="3" s="1"/>
  <c r="Z103" i="2"/>
  <c r="N103" i="2"/>
  <c r="B103" i="2"/>
  <c r="X103" i="2"/>
  <c r="L103" i="2"/>
  <c r="T103" i="2"/>
  <c r="H103" i="2"/>
  <c r="AD103" i="2"/>
  <c r="R103" i="2"/>
  <c r="F103" i="2"/>
  <c r="AE103" i="2"/>
  <c r="S103" i="2"/>
  <c r="G103" i="2"/>
  <c r="AB103" i="2"/>
  <c r="P103" i="2"/>
  <c r="D103" i="2"/>
  <c r="AA103" i="2"/>
  <c r="O103" i="2"/>
  <c r="C103" i="2"/>
  <c r="J103" i="2"/>
  <c r="I103" i="2"/>
  <c r="E103" i="2"/>
  <c r="AC103" i="2"/>
  <c r="Y103" i="2"/>
  <c r="U103" i="2"/>
  <c r="W103" i="2"/>
  <c r="V103" i="2"/>
  <c r="Q103" i="2"/>
  <c r="K103" i="2"/>
  <c r="M103" i="2"/>
  <c r="B13" i="5"/>
  <c r="B14" i="5" s="1"/>
  <c r="C45" i="3"/>
  <c r="D45" i="3"/>
  <c r="E17" i="6"/>
  <c r="F17" i="6" s="1"/>
  <c r="C6" i="2"/>
  <c r="C6" i="1"/>
  <c r="B36" i="3"/>
  <c r="B38" i="3" s="1"/>
  <c r="B39" i="3"/>
  <c r="B35" i="3"/>
  <c r="D7" i="4"/>
  <c r="H8" i="4"/>
  <c r="G8" i="4"/>
  <c r="B7" i="4"/>
  <c r="F8" i="4"/>
  <c r="E8" i="4"/>
  <c r="C8" i="4"/>
  <c r="B102" i="2"/>
  <c r="B104" i="2" s="1"/>
  <c r="E8" i="1"/>
  <c r="H7" i="4"/>
  <c r="B8" i="4"/>
  <c r="E8" i="2"/>
  <c r="F7" i="4"/>
  <c r="E7" i="4"/>
  <c r="B69" i="2"/>
  <c r="B65" i="2"/>
  <c r="B66" i="2" s="1"/>
  <c r="D8" i="4"/>
  <c r="G7" i="4"/>
  <c r="C7" i="4"/>
  <c r="C46" i="3" l="1"/>
  <c r="C14" i="1" s="1"/>
  <c r="C12" i="1"/>
  <c r="D12" i="1"/>
  <c r="D46" i="3"/>
  <c r="D14" i="1" s="1"/>
  <c r="B106" i="2"/>
  <c r="B23" i="2"/>
  <c r="C8" i="1"/>
  <c r="C8" i="2"/>
  <c r="G10" i="4"/>
  <c r="G19" i="1"/>
  <c r="G11" i="4"/>
  <c r="G20" i="1" s="1"/>
  <c r="G9" i="4"/>
  <c r="G18" i="1" s="1"/>
  <c r="C39" i="3"/>
  <c r="C49" i="3" s="1"/>
  <c r="C13" i="1" s="1"/>
  <c r="E10" i="4"/>
  <c r="E19" i="1"/>
  <c r="E9" i="4"/>
  <c r="E18" i="1" s="1"/>
  <c r="E11" i="4"/>
  <c r="E20" i="1" s="1"/>
  <c r="B43" i="3"/>
  <c r="B47" i="3"/>
  <c r="B10" i="4"/>
  <c r="B19" i="1"/>
  <c r="B9" i="4"/>
  <c r="B18" i="1" s="1"/>
  <c r="B11" i="4"/>
  <c r="B20" i="1" s="1"/>
  <c r="F10" i="4"/>
  <c r="F19" i="1"/>
  <c r="F9" i="4"/>
  <c r="F18" i="1" s="1"/>
  <c r="F11" i="4"/>
  <c r="F20" i="1" s="1"/>
  <c r="D10" i="4"/>
  <c r="D19" i="1"/>
  <c r="D11" i="4"/>
  <c r="D20" i="1" s="1"/>
  <c r="D9" i="4"/>
  <c r="D18" i="1" s="1"/>
  <c r="C10" i="4"/>
  <c r="C19" i="1"/>
  <c r="C9" i="4"/>
  <c r="C18" i="1" s="1"/>
  <c r="C11" i="4"/>
  <c r="C20" i="1" s="1"/>
  <c r="B49" i="3"/>
  <c r="B13" i="1" s="1"/>
  <c r="F10" i="7"/>
  <c r="F11" i="7" s="1"/>
  <c r="G100" i="2"/>
  <c r="C47" i="3"/>
  <c r="H10" i="4"/>
  <c r="H19" i="1"/>
  <c r="H9" i="4"/>
  <c r="H18" i="1" s="1"/>
  <c r="H11" i="4"/>
  <c r="H20" i="1" s="1"/>
  <c r="Z105" i="2"/>
  <c r="N105" i="2"/>
  <c r="B105" i="2"/>
  <c r="X105" i="2"/>
  <c r="L105" i="2"/>
  <c r="T105" i="2"/>
  <c r="H105" i="2"/>
  <c r="AD105" i="2"/>
  <c r="R105" i="2"/>
  <c r="F105" i="2"/>
  <c r="AE105" i="2"/>
  <c r="S105" i="2"/>
  <c r="G105" i="2"/>
  <c r="AB105" i="2"/>
  <c r="P105" i="2"/>
  <c r="D105" i="2"/>
  <c r="AA105" i="2"/>
  <c r="O105" i="2"/>
  <c r="C105" i="2"/>
  <c r="I105" i="2"/>
  <c r="E105" i="2"/>
  <c r="W105" i="2"/>
  <c r="U105" i="2"/>
  <c r="AC105" i="2"/>
  <c r="Y105" i="2"/>
  <c r="M105" i="2"/>
  <c r="V105" i="2"/>
  <c r="Q105" i="2"/>
  <c r="J105" i="2"/>
  <c r="K105" i="2"/>
  <c r="F6" i="1" l="1"/>
  <c r="F6" i="2"/>
  <c r="B107" i="2"/>
  <c r="B108" i="2"/>
  <c r="B12" i="1"/>
  <c r="B46" i="3"/>
  <c r="B14" i="1" s="1"/>
  <c r="H100" i="2"/>
  <c r="G10" i="7"/>
  <c r="G11" i="7" s="1"/>
  <c r="H10" i="7" l="1"/>
  <c r="H11" i="7" s="1"/>
  <c r="I100" i="2"/>
  <c r="B12" i="7"/>
  <c r="B13" i="7" s="1"/>
  <c r="C106" i="2"/>
  <c r="C107" i="2" s="1"/>
  <c r="C7" i="7" s="1"/>
  <c r="C9" i="7" s="1"/>
  <c r="C102" i="2"/>
  <c r="C104" i="2" s="1"/>
  <c r="B7" i="7"/>
  <c r="B20" i="2"/>
  <c r="B22" i="2"/>
  <c r="C108" i="2" l="1"/>
  <c r="J100" i="2"/>
  <c r="I10" i="7"/>
  <c r="I11" i="7" s="1"/>
  <c r="E6" i="2"/>
  <c r="E6" i="1"/>
  <c r="D6" i="1"/>
  <c r="D6" i="2"/>
  <c r="B15" i="7"/>
  <c r="B9" i="7"/>
  <c r="B14" i="7" l="1"/>
  <c r="C15" i="7"/>
  <c r="J10" i="7"/>
  <c r="J11" i="7" s="1"/>
  <c r="K100" i="2"/>
  <c r="C12" i="7"/>
  <c r="C13" i="7" s="1"/>
  <c r="D108" i="2"/>
  <c r="D106" i="2"/>
  <c r="D107" i="2" s="1"/>
  <c r="D102" i="2"/>
  <c r="D104" i="2" s="1"/>
  <c r="D12" i="7" l="1"/>
  <c r="D13" i="7" s="1"/>
  <c r="E106" i="2"/>
  <c r="E107" i="2" s="1"/>
  <c r="E7" i="7" s="1"/>
  <c r="E9" i="7" s="1"/>
  <c r="E102" i="2"/>
  <c r="E104" i="2" s="1"/>
  <c r="E108" i="2"/>
  <c r="D7" i="7"/>
  <c r="L100" i="2"/>
  <c r="K10" i="7"/>
  <c r="K11" i="7" s="1"/>
  <c r="D15" i="7"/>
  <c r="C14" i="7"/>
  <c r="E15" i="7" l="1"/>
  <c r="M100" i="2"/>
  <c r="L10" i="7"/>
  <c r="L11" i="7" s="1"/>
  <c r="F106" i="2"/>
  <c r="F107" i="2" s="1"/>
  <c r="F102" i="2"/>
  <c r="F104" i="2" s="1"/>
  <c r="E12" i="7"/>
  <c r="E13" i="7" s="1"/>
  <c r="D9" i="7"/>
  <c r="D14" i="7" l="1"/>
  <c r="F7" i="7"/>
  <c r="F108" i="2"/>
  <c r="N100" i="2"/>
  <c r="M10" i="7"/>
  <c r="M11" i="7" s="1"/>
  <c r="F15" i="7"/>
  <c r="N10" i="7" l="1"/>
  <c r="N11" i="7" s="1"/>
  <c r="O100" i="2"/>
  <c r="F12" i="7"/>
  <c r="F13" i="7" s="1"/>
  <c r="G102" i="2"/>
  <c r="G104" i="2" s="1"/>
  <c r="G106" i="2"/>
  <c r="G107" i="2" s="1"/>
  <c r="G108" i="2"/>
  <c r="E14" i="7"/>
  <c r="F14" i="7" s="1"/>
  <c r="F9" i="7"/>
  <c r="H106" i="2" l="1"/>
  <c r="H107" i="2" s="1"/>
  <c r="H7" i="7" s="1"/>
  <c r="H9" i="7" s="1"/>
  <c r="H102" i="2"/>
  <c r="H104" i="2" s="1"/>
  <c r="G12" i="7"/>
  <c r="G13" i="7" s="1"/>
  <c r="G7" i="7"/>
  <c r="O10" i="7"/>
  <c r="O11" i="7" s="1"/>
  <c r="P100" i="2"/>
  <c r="G9" i="7" l="1"/>
  <c r="G14" i="7" s="1"/>
  <c r="G15" i="7"/>
  <c r="P10" i="7"/>
  <c r="P11" i="7" s="1"/>
  <c r="Q100" i="2"/>
  <c r="H108" i="2"/>
  <c r="H12" i="7" l="1"/>
  <c r="H13" i="7" s="1"/>
  <c r="I106" i="2"/>
  <c r="I107" i="2" s="1"/>
  <c r="I102" i="2"/>
  <c r="I104" i="2" s="1"/>
  <c r="R100" i="2"/>
  <c r="Q10" i="7"/>
  <c r="Q11" i="7" s="1"/>
  <c r="H15" i="7"/>
  <c r="H14" i="7"/>
  <c r="I108" i="2" l="1"/>
  <c r="R10" i="7"/>
  <c r="R11" i="7" s="1"/>
  <c r="S100" i="2"/>
  <c r="I7" i="7"/>
  <c r="I9" i="7" l="1"/>
  <c r="I14" i="7" s="1"/>
  <c r="T100" i="2"/>
  <c r="S10" i="7"/>
  <c r="S11" i="7" s="1"/>
  <c r="J106" i="2"/>
  <c r="J107" i="2" s="1"/>
  <c r="J7" i="7" s="1"/>
  <c r="J9" i="7" s="1"/>
  <c r="J102" i="2"/>
  <c r="J104" i="2" s="1"/>
  <c r="I12" i="7"/>
  <c r="I13" i="7" s="1"/>
  <c r="I15" i="7"/>
  <c r="T10" i="7" l="1"/>
  <c r="T11" i="7" s="1"/>
  <c r="U100" i="2"/>
  <c r="J15" i="7"/>
  <c r="J108" i="2"/>
  <c r="J14" i="7"/>
  <c r="J12" i="7" l="1"/>
  <c r="J13" i="7" s="1"/>
  <c r="K102" i="2"/>
  <c r="K104" i="2" s="1"/>
  <c r="K106" i="2"/>
  <c r="K107" i="2" s="1"/>
  <c r="V100" i="2"/>
  <c r="U10" i="7"/>
  <c r="U11" i="7" s="1"/>
  <c r="V10" i="7" l="1"/>
  <c r="V11" i="7" s="1"/>
  <c r="W100" i="2"/>
  <c r="K7" i="7"/>
  <c r="B19" i="5"/>
  <c r="B29" i="5"/>
  <c r="K108" i="2"/>
  <c r="L106" i="2" l="1"/>
  <c r="L107" i="2" s="1"/>
  <c r="L7" i="7" s="1"/>
  <c r="L9" i="7" s="1"/>
  <c r="L102" i="2"/>
  <c r="L104" i="2" s="1"/>
  <c r="B24" i="5"/>
  <c r="B28" i="5" s="1"/>
  <c r="B30" i="5" s="1"/>
  <c r="K12" i="7"/>
  <c r="K13" i="7" s="1"/>
  <c r="B14" i="2"/>
  <c r="B15" i="2" s="1"/>
  <c r="B12" i="5"/>
  <c r="B18" i="5" s="1"/>
  <c r="K9" i="7"/>
  <c r="K14" i="7" s="1"/>
  <c r="L14" i="7" s="1"/>
  <c r="K15" i="7"/>
  <c r="L15" i="7" s="1"/>
  <c r="W10" i="7"/>
  <c r="W11" i="7" s="1"/>
  <c r="X100" i="2"/>
  <c r="Y100" i="2" l="1"/>
  <c r="X10" i="7"/>
  <c r="X11" i="7" s="1"/>
  <c r="B20" i="5"/>
  <c r="B31" i="5" s="1"/>
  <c r="F8" i="2"/>
  <c r="F8" i="1"/>
  <c r="L108" i="2"/>
  <c r="Z100" i="2" l="1"/>
  <c r="Y10" i="7"/>
  <c r="Y11" i="7" s="1"/>
  <c r="M108" i="2"/>
  <c r="M106" i="2"/>
  <c r="M107" i="2" s="1"/>
  <c r="M7" i="7" s="1"/>
  <c r="M102" i="2"/>
  <c r="M104" i="2" s="1"/>
  <c r="L12" i="7"/>
  <c r="L13" i="7" s="1"/>
  <c r="N106" i="2" l="1"/>
  <c r="N107" i="2" s="1"/>
  <c r="N7" i="7" s="1"/>
  <c r="N9" i="7" s="1"/>
  <c r="N102" i="2"/>
  <c r="N104" i="2" s="1"/>
  <c r="M12" i="7"/>
  <c r="M13" i="7" s="1"/>
  <c r="M9" i="7"/>
  <c r="M14" i="7" s="1"/>
  <c r="N14" i="7" s="1"/>
  <c r="M15" i="7"/>
  <c r="N15" i="7" s="1"/>
  <c r="Z10" i="7"/>
  <c r="Z11" i="7" s="1"/>
  <c r="AA100" i="2"/>
  <c r="AA10" i="7" l="1"/>
  <c r="AA11" i="7" s="1"/>
  <c r="AB100" i="2"/>
  <c r="N108" i="2"/>
  <c r="N12" i="7" l="1"/>
  <c r="N13" i="7" s="1"/>
  <c r="O106" i="2"/>
  <c r="O107" i="2" s="1"/>
  <c r="O7" i="7" s="1"/>
  <c r="O102" i="2"/>
  <c r="O104" i="2" s="1"/>
  <c r="AB10" i="7"/>
  <c r="AB11" i="7" s="1"/>
  <c r="AC100" i="2"/>
  <c r="O108" i="2" l="1"/>
  <c r="AD100" i="2"/>
  <c r="AC10" i="7"/>
  <c r="AC11" i="7" s="1"/>
  <c r="O9" i="7"/>
  <c r="O14" i="7" s="1"/>
  <c r="O15" i="7"/>
  <c r="AD10" i="7" l="1"/>
  <c r="AD11" i="7" s="1"/>
  <c r="AE100" i="2"/>
  <c r="O12" i="7"/>
  <c r="O13" i="7" s="1"/>
  <c r="P106" i="2"/>
  <c r="P107" i="2" s="1"/>
  <c r="P7" i="7" s="1"/>
  <c r="P9" i="7" s="1"/>
  <c r="P14" i="7" s="1"/>
  <c r="P108" i="2"/>
  <c r="P102" i="2"/>
  <c r="P104" i="2" s="1"/>
  <c r="P12" i="7" l="1"/>
  <c r="P13" i="7" s="1"/>
  <c r="Q102" i="2"/>
  <c r="Q104" i="2" s="1"/>
  <c r="Q106" i="2"/>
  <c r="Q107" i="2" s="1"/>
  <c r="Q7" i="7" s="1"/>
  <c r="Q9" i="7" s="1"/>
  <c r="Q14" i="7" s="1"/>
  <c r="AE10" i="7"/>
  <c r="AE11" i="7" s="1"/>
  <c r="P15" i="7"/>
  <c r="Q15" i="7" l="1"/>
  <c r="Q108" i="2"/>
  <c r="R106" i="2" l="1"/>
  <c r="R107" i="2" s="1"/>
  <c r="R7" i="7" s="1"/>
  <c r="R9" i="7" s="1"/>
  <c r="R14" i="7" s="1"/>
  <c r="R102" i="2"/>
  <c r="R104" i="2" s="1"/>
  <c r="Q12" i="7"/>
  <c r="Q13" i="7" s="1"/>
  <c r="R15" i="7" l="1"/>
  <c r="R108" i="2"/>
  <c r="R12" i="7" l="1"/>
  <c r="R13" i="7" s="1"/>
  <c r="S102" i="2"/>
  <c r="S104" i="2" s="1"/>
  <c r="S106" i="2"/>
  <c r="S107" i="2" s="1"/>
  <c r="S7" i="7" s="1"/>
  <c r="S9" i="7" s="1"/>
  <c r="S14" i="7" s="1"/>
  <c r="S15" i="7" l="1"/>
  <c r="S108" i="2"/>
  <c r="T106" i="2" l="1"/>
  <c r="T107" i="2" s="1"/>
  <c r="T7" i="7" s="1"/>
  <c r="T9" i="7" s="1"/>
  <c r="T14" i="7" s="1"/>
  <c r="T102" i="2"/>
  <c r="T104" i="2" s="1"/>
  <c r="S12" i="7"/>
  <c r="S13" i="7" s="1"/>
  <c r="T15" i="7"/>
  <c r="T108" i="2" l="1"/>
  <c r="T12" i="7" l="1"/>
  <c r="T13" i="7" s="1"/>
  <c r="U106" i="2"/>
  <c r="U107" i="2" s="1"/>
  <c r="U7" i="7" s="1"/>
  <c r="U102" i="2"/>
  <c r="U104" i="2" s="1"/>
  <c r="U9" i="7" l="1"/>
  <c r="U14" i="7" s="1"/>
  <c r="U15" i="7"/>
  <c r="U108" i="2"/>
  <c r="V106" i="2" l="1"/>
  <c r="V107" i="2" s="1"/>
  <c r="V7" i="7" s="1"/>
  <c r="V9" i="7" s="1"/>
  <c r="V102" i="2"/>
  <c r="V104" i="2" s="1"/>
  <c r="U12" i="7"/>
  <c r="U13" i="7" s="1"/>
  <c r="V15" i="7"/>
  <c r="V14" i="7"/>
  <c r="V108" i="2" l="1"/>
  <c r="V12" i="7" l="1"/>
  <c r="V13" i="7" s="1"/>
  <c r="W106" i="2"/>
  <c r="W107" i="2" s="1"/>
  <c r="W7" i="7" s="1"/>
  <c r="W102" i="2"/>
  <c r="W104" i="2" s="1"/>
  <c r="W108" i="2" l="1"/>
  <c r="W9" i="7"/>
  <c r="W14" i="7" s="1"/>
  <c r="W15" i="7"/>
  <c r="X106" i="2" l="1"/>
  <c r="X107" i="2" s="1"/>
  <c r="X7" i="7" s="1"/>
  <c r="X9" i="7" s="1"/>
  <c r="X14" i="7" s="1"/>
  <c r="X102" i="2"/>
  <c r="X104" i="2" s="1"/>
  <c r="W12" i="7"/>
  <c r="W13" i="7" s="1"/>
  <c r="X108" i="2" l="1"/>
  <c r="X15" i="7"/>
  <c r="Y106" i="2" l="1"/>
  <c r="Y107" i="2" s="1"/>
  <c r="Y7" i="7" s="1"/>
  <c r="Y9" i="7" s="1"/>
  <c r="Y14" i="7" s="1"/>
  <c r="Y102" i="2"/>
  <c r="Y104" i="2" s="1"/>
  <c r="X12" i="7"/>
  <c r="X13" i="7" s="1"/>
  <c r="Y108" i="2" l="1"/>
  <c r="Y15" i="7"/>
  <c r="Z106" i="2" l="1"/>
  <c r="Z107" i="2" s="1"/>
  <c r="Z7" i="7" s="1"/>
  <c r="Z9" i="7" s="1"/>
  <c r="Z14" i="7" s="1"/>
  <c r="Z102" i="2"/>
  <c r="Z104" i="2" s="1"/>
  <c r="Y12" i="7"/>
  <c r="Y13" i="7" s="1"/>
  <c r="Z108" i="2" l="1"/>
  <c r="Z15" i="7"/>
  <c r="Z12" i="7" l="1"/>
  <c r="Z13" i="7" s="1"/>
  <c r="AA106" i="2"/>
  <c r="AA107" i="2" s="1"/>
  <c r="AA7" i="7" s="1"/>
  <c r="AA9" i="7" s="1"/>
  <c r="AA14" i="7" s="1"/>
  <c r="AA102" i="2"/>
  <c r="AA104" i="2" s="1"/>
  <c r="AA108" i="2" l="1"/>
  <c r="AA15" i="7"/>
  <c r="AA12" i="7" l="1"/>
  <c r="AA13" i="7" s="1"/>
  <c r="AB102" i="2"/>
  <c r="AB104" i="2" s="1"/>
  <c r="AB108" i="2"/>
  <c r="AB106" i="2"/>
  <c r="AB107" i="2" s="1"/>
  <c r="AB7" i="7" s="1"/>
  <c r="AB9" i="7" s="1"/>
  <c r="AB14" i="7" s="1"/>
  <c r="AB12" i="7" l="1"/>
  <c r="AB13" i="7" s="1"/>
  <c r="AC106" i="2"/>
  <c r="AC107" i="2" s="1"/>
  <c r="AC7" i="7" s="1"/>
  <c r="AC9" i="7" s="1"/>
  <c r="AC14" i="7" s="1"/>
  <c r="AC102" i="2"/>
  <c r="AC104" i="2" s="1"/>
  <c r="AB15" i="7"/>
  <c r="AC15" i="7" l="1"/>
  <c r="AC108" i="2"/>
  <c r="AD106" i="2" l="1"/>
  <c r="AD107" i="2" s="1"/>
  <c r="AD7" i="7" s="1"/>
  <c r="AD9" i="7" s="1"/>
  <c r="AD14" i="7" s="1"/>
  <c r="AD102" i="2"/>
  <c r="AD104" i="2" s="1"/>
  <c r="AC12" i="7"/>
  <c r="AC13" i="7" s="1"/>
  <c r="AD15" i="7"/>
  <c r="AD108" i="2" l="1"/>
  <c r="AD12" i="7" l="1"/>
  <c r="AD13" i="7" s="1"/>
  <c r="AE106" i="2"/>
  <c r="AE107" i="2" s="1"/>
  <c r="AE7" i="7" s="1"/>
  <c r="AE102" i="2"/>
  <c r="AE104" i="2" s="1"/>
  <c r="AE9" i="7" l="1"/>
  <c r="B18" i="7"/>
  <c r="AE15" i="7"/>
  <c r="B24" i="7" s="1"/>
  <c r="AE108" i="2"/>
  <c r="AE12" i="7" s="1"/>
  <c r="AE13" i="7" s="1"/>
  <c r="B19" i="7" l="1"/>
  <c r="B22" i="7" s="1"/>
  <c r="AE14" i="7"/>
  <c r="B23" i="7" s="1"/>
  <c r="B20" i="7" l="1"/>
  <c r="B21" i="7"/>
</calcChain>
</file>

<file path=xl/sharedStrings.xml><?xml version="1.0" encoding="utf-8"?>
<sst xmlns="http://schemas.openxmlformats.org/spreadsheetml/2006/main" count="329" uniqueCount="244">
  <si>
    <t>Dashboard  ·  Immobilien-Investment auf einen Blick</t>
  </si>
  <si>
    <t>Alle Werte sind mit den anderen Tabellenblättern verknüpft.</t>
  </si>
  <si>
    <t>Kennzahlen (KPIs)</t>
  </si>
  <si>
    <t>Rendite-Kennzahlen</t>
  </si>
  <si>
    <t>Bruttomietrendite</t>
  </si>
  <si>
    <t>Nettomietrendite</t>
  </si>
  <si>
    <t>Cashflow-EK-Rendite</t>
  </si>
  <si>
    <t>Cashflow mtl. (Jahr 1)</t>
  </si>
  <si>
    <t>Break-Even-Miete</t>
  </si>
  <si>
    <t>Finanzierung &amp; Exit</t>
  </si>
  <si>
    <t>Kaufpreisfaktor</t>
  </si>
  <si>
    <t>LTV</t>
  </si>
  <si>
    <t>Gesamtinvestition</t>
  </si>
  <si>
    <t>Darlehensbetrag</t>
  </si>
  <si>
    <t>Netto-Erlös Exit</t>
  </si>
  <si>
    <t>Szenario-Vergleich</t>
  </si>
  <si>
    <t>Kennzahl</t>
  </si>
  <si>
    <t>Worst</t>
  </si>
  <si>
    <t>Base</t>
  </si>
  <si>
    <t>Best</t>
  </si>
  <si>
    <t>Cashflow Jahr 1</t>
  </si>
  <si>
    <t>Gesamtgewinn n. Steuer</t>
  </si>
  <si>
    <t>Cashflow-Eigenkapitalrendite</t>
  </si>
  <si>
    <t>Zinstest (Verknüpfung)</t>
  </si>
  <si>
    <t>Zins-Stufe</t>
  </si>
  <si>
    <t>Netto-Cashflow Jahr 1</t>
  </si>
  <si>
    <t>Monatliche Annuität</t>
  </si>
  <si>
    <t>Immobilien-Kalkulations-Rechner</t>
  </si>
  <si>
    <t>Alles auf dieser Farbe ist Ihr Input, den Sie für die jeweilige Berechnung oder Ausführung anpassen müssen. Bisher vorhandene Daten dienen nur als Beispiel</t>
  </si>
  <si>
    <t>Kennzahlen-Überblick  ·  Auf einen Blick</t>
  </si>
  <si>
    <t>Eigenkapitalrendite</t>
  </si>
  <si>
    <t>Gesamtinvestitionskosten</t>
  </si>
  <si>
    <t>Szenario- &amp; Exit-Analyse</t>
  </si>
  <si>
    <t>Haltedauer (Jahre)</t>
  </si>
  <si>
    <t>Angenommene Wertsteigerung p.a. (%)</t>
  </si>
  <si>
    <t>Voraussichtlicher Verkaufspreis</t>
  </si>
  <si>
    <t>Restschuld am Ende der Laufzeit</t>
  </si>
  <si>
    <t>Voraussichtlicher Gesamtgewinn nach Steuer</t>
  </si>
  <si>
    <t>Renditen &amp; Kennzahlen</t>
  </si>
  <si>
    <t>Eigenkapitalrendite (ROE)</t>
  </si>
  <si>
    <t>Kaufpreisfaktor (Vervielfältiger)</t>
  </si>
  <si>
    <t>Monatlicher Cashflow (Jahr 1)</t>
  </si>
  <si>
    <t>Break-Even-Miete (monatlich)</t>
  </si>
  <si>
    <t>Sektion 1: Objektdaten (Grunddaten)</t>
  </si>
  <si>
    <t>Kaufpreis gesamt</t>
  </si>
  <si>
    <t>Wohnfläche (m²)</t>
  </si>
  <si>
    <t>Kaufpreis / m²</t>
  </si>
  <si>
    <t>Grundstücksfläche (m²)</t>
  </si>
  <si>
    <t>Baujahr</t>
  </si>
  <si>
    <t>Objektart</t>
  </si>
  <si>
    <t>Wohnung</t>
  </si>
  <si>
    <t>Bundesland</t>
  </si>
  <si>
    <t>Bayern</t>
  </si>
  <si>
    <t>PLZ / Lage</t>
  </si>
  <si>
    <t>80331 München</t>
  </si>
  <si>
    <t>Sektion 2: Kaufnebenkosten</t>
  </si>
  <si>
    <t>Grunderwerbsteuer (%)</t>
  </si>
  <si>
    <t>Grunderwerbsteuer (€)</t>
  </si>
  <si>
    <t>Notarkosten (%)</t>
  </si>
  <si>
    <t>Notarkosten (€)</t>
  </si>
  <si>
    <t>Grundbucheintragung (%)</t>
  </si>
  <si>
    <t>Grundbucheintragung (€)</t>
  </si>
  <si>
    <t>Maklerprovision (%)</t>
  </si>
  <si>
    <t>Maklerprovision (€)</t>
  </si>
  <si>
    <t>Gutachter / Wertermittlung</t>
  </si>
  <si>
    <t>Renovierung / Sanierung vor Einzug</t>
  </si>
  <si>
    <t>Sonstige Erwerbsnebenkosten</t>
  </si>
  <si>
    <t>Gesamten Kaufnebenkosten (€)</t>
  </si>
  <si>
    <t>Gesamten Kaufnebenkosten (%)</t>
  </si>
  <si>
    <t>Gesamten Investitionskosten (Kaufpreis + NK)</t>
  </si>
  <si>
    <t>Renovierungs-Check  ·  15%-Grenze (§6 Abs. 1 Nr. 1a EStG)</t>
  </si>
  <si>
    <t>Renovierungskosten (vor Einzug)</t>
  </si>
  <si>
    <t>Gebäudewert (Bemessungsgrundlage)</t>
  </si>
  <si>
    <t>Renovierungsquote</t>
  </si>
  <si>
    <t>15%-Grenze (anschaffungsnahe HK)</t>
  </si>
  <si>
    <t>Anrechenbar im Limit (Sofortabzug)</t>
  </si>
  <si>
    <t>Aktivierungspflichtig (über Grenze)</t>
  </si>
  <si>
    <t>Sektion 3: Finanzierung</t>
  </si>
  <si>
    <t>Eigenkapital-Anteil (%)</t>
  </si>
  <si>
    <t>Eigenkapital (€)</t>
  </si>
  <si>
    <t>Zinssatz (p. a. %)</t>
  </si>
  <si>
    <t>Anfangstilgung (%)</t>
  </si>
  <si>
    <t>Monatliche Rate (Annuität)</t>
  </si>
  <si>
    <t>Jährliche Rate</t>
  </si>
  <si>
    <t>Zinsbindung (Jahre)</t>
  </si>
  <si>
    <t>Laufzeit des Kredites (Jahre)</t>
  </si>
  <si>
    <t>Beleihungsauslauf (LTV %)</t>
  </si>
  <si>
    <t>Sektion 4: Mieteinnahmen &amp; Ertrag</t>
  </si>
  <si>
    <t>Kaltmiete / m²</t>
  </si>
  <si>
    <t>Kaltmiete monatlich gesamt</t>
  </si>
  <si>
    <t>Warmmiete</t>
  </si>
  <si>
    <t>Mietausfallwagnis (%)</t>
  </si>
  <si>
    <t>Mietausfallwagnis (€)</t>
  </si>
  <si>
    <t>Mieteinnahmen netto p. a.</t>
  </si>
  <si>
    <t>Mietpreisentwicklung (jährl. Steigerung %)</t>
  </si>
  <si>
    <t>Sektion 5: Bewirtschaftungskosten</t>
  </si>
  <si>
    <t>Hausverwaltung (monatlich)</t>
  </si>
  <si>
    <t>Instandhaltungsrücklage p.a.</t>
  </si>
  <si>
    <t>Nicht umlagefähige Nebenkosten p.a.</t>
  </si>
  <si>
    <t>Versicherungen p.a.</t>
  </si>
  <si>
    <t>Grundsteuer B p.a.</t>
  </si>
  <si>
    <t>Hausmeister p.a.</t>
  </si>
  <si>
    <t>Leerstandskosten p.a.</t>
  </si>
  <si>
    <t>Bewirtschaftungskosten gesamt p. a.</t>
  </si>
  <si>
    <t>Sektion 6: Steuer &amp; AfA</t>
  </si>
  <si>
    <t>Gebäudeanteil (%)</t>
  </si>
  <si>
    <t>Gebäudewert für AfA</t>
  </si>
  <si>
    <t>AfA-Satz (%)</t>
  </si>
  <si>
    <t>AfA-Betrag jährlich</t>
  </si>
  <si>
    <t>Persönlicher Grenzsteuersatz (%)</t>
  </si>
  <si>
    <t>Werbungskosten (Sonstige p.a.)</t>
  </si>
  <si>
    <t>Kategorie</t>
  </si>
  <si>
    <t>Jahr 1</t>
  </si>
  <si>
    <t>Jahr 2</t>
  </si>
  <si>
    <t>Jahr 3</t>
  </si>
  <si>
    <t>Jahr 4</t>
  </si>
  <si>
    <t>Jahr 5</t>
  </si>
  <si>
    <t>Jahr 6</t>
  </si>
  <si>
    <t>Jahr 7</t>
  </si>
  <si>
    <t>Jahr 8</t>
  </si>
  <si>
    <t>Jahr 9</t>
  </si>
  <si>
    <t>Jahr 10</t>
  </si>
  <si>
    <t>Jahr 11</t>
  </si>
  <si>
    <t>Jahr 12</t>
  </si>
  <si>
    <t>Jahr 13</t>
  </si>
  <si>
    <t>Jahr 14</t>
  </si>
  <si>
    <t>Jahr 15</t>
  </si>
  <si>
    <t>Jahr 16</t>
  </si>
  <si>
    <t>Jahr 17</t>
  </si>
  <si>
    <t>Jahr 18</t>
  </si>
  <si>
    <t>Jahr 19</t>
  </si>
  <si>
    <t>Jahr 20</t>
  </si>
  <si>
    <t>Jahr 21</t>
  </si>
  <si>
    <t>Jahr 22</t>
  </si>
  <si>
    <t>Jahr 23</t>
  </si>
  <si>
    <t>Jahr 24</t>
  </si>
  <si>
    <t>Jahr 25</t>
  </si>
  <si>
    <t>Jahr 26</t>
  </si>
  <si>
    <t>Jahr 27</t>
  </si>
  <si>
    <t>Jahr 28</t>
  </si>
  <si>
    <t>Jahr 29</t>
  </si>
  <si>
    <t>Jahr 30</t>
  </si>
  <si>
    <t>1. Potenzielle Mieteinnahmen p.a.</t>
  </si>
  <si>
    <t>2. Bewirtschaftungskosten p.a.</t>
  </si>
  <si>
    <t>3. Zinsaufwand p.a.</t>
  </si>
  <si>
    <t>4. AfA Abschreibung</t>
  </si>
  <si>
    <t>5. Zu versteuernder Gewinn/Verlust</t>
  </si>
  <si>
    <t>6. Steuereffekt (+ Ersparnis / - Last)</t>
  </si>
  <si>
    <t>7. Zins &amp; Tilgung (Annuität, konstant)</t>
  </si>
  <si>
    <t>8. Netto-Cashflow nach Steuern</t>
  </si>
  <si>
    <t>9. Restschuld</t>
  </si>
  <si>
    <t>Szenario-Analyse  ·  Worst / Base / Best Case</t>
  </si>
  <si>
    <t>Blaue Zellen = editierbare Abweichungen vom Base-Case. Die Base-Case-Spalte spiegelt die Werte des Hauptsheets.</t>
  </si>
  <si>
    <t>1 · Abweichungen vom Base-Case (%)</t>
  </si>
  <si>
    <t>Variable</t>
  </si>
  <si>
    <t>Worst Case</t>
  </si>
  <si>
    <t>Base Case</t>
  </si>
  <si>
    <t>Best Case</t>
  </si>
  <si>
    <t>Kaufpreis</t>
  </si>
  <si>
    <t>Zinssatz</t>
  </si>
  <si>
    <t>Anfangstilgung</t>
  </si>
  <si>
    <t>Mietpreisentwicklung p.a.</t>
  </si>
  <si>
    <t>Bewirtschaftungskosten gesamt</t>
  </si>
  <si>
    <t>Mietausfallwagnis</t>
  </si>
  <si>
    <t>Wertsteigerung p.a.</t>
  </si>
  <si>
    <t>Leerstandskosten</t>
  </si>
  <si>
    <t>Instandhaltungsrücklage</t>
  </si>
  <si>
    <t>2 · Resultierende Annahmen (absolut)</t>
  </si>
  <si>
    <t>3 · Abgeleitete Modellgrößen</t>
  </si>
  <si>
    <t>Jahres-Kaltmiete</t>
  </si>
  <si>
    <t>Jährliche Annuität</t>
  </si>
  <si>
    <t>Zinsaufwand Jahr 1</t>
  </si>
  <si>
    <t>AfA jährlich</t>
  </si>
  <si>
    <t>Steuereffekt Jahr 1</t>
  </si>
  <si>
    <t>Restschuld nach Haltedauer</t>
  </si>
  <si>
    <t>4 · Ergebnisse</t>
  </si>
  <si>
    <t>Break-Even-Miete (mtl.)</t>
  </si>
  <si>
    <t>Voraussichtl. Verkaufspreis</t>
  </si>
  <si>
    <t>Gesamtgewinn nach Steuer</t>
  </si>
  <si>
    <t>Zins-Sensitivität  ·  Stresstest</t>
  </si>
  <si>
    <t>Editierbare Änderungen in %-Punkten gegenüber dem Basiszins des Hauptsheets. Die hervorgehobene Spalte entspricht dem aktuellen Zinssatz.</t>
  </si>
  <si>
    <t>Zinssatz-Stufen</t>
  </si>
  <si>
    <t>Zinssatz-Änderung (%-Punkte)</t>
  </si>
  <si>
    <t>Effektiver Zinssatz</t>
  </si>
  <si>
    <t>Jährl. Zinsaufwand (Jahr 1)</t>
  </si>
  <si>
    <t>Netto-Cashflow Jahr 1 (n. Steuer)</t>
  </si>
  <si>
    <t>Gesamtzinslast (Laufzeit)</t>
  </si>
  <si>
    <t>Exit-Analyse  ·  Spekulationssteuer &amp; Netto-Erlös</t>
  </si>
  <si>
    <t>Blaue Zellen sind editierbar</t>
  </si>
  <si>
    <t>Annahmen (Eingaben)</t>
  </si>
  <si>
    <t>Geplanter Verkaufspreis</t>
  </si>
  <si>
    <t>Verkaufsnebenkosten (%)</t>
  </si>
  <si>
    <t>Kaufjahr</t>
  </si>
  <si>
    <t>Veräußerungsgewinn &amp; Spekulationssteuer</t>
  </si>
  <si>
    <t>Anschaffungskosten gesamt</t>
  </si>
  <si>
    <t>Restschuld zum Verkaufszeitpunkt</t>
  </si>
  <si>
    <t>Kumulierte AfA bis Verkauf</t>
  </si>
  <si>
    <t>Veräußerungsgewinn</t>
  </si>
  <si>
    <t>Haltedauer &lt; 10 Jahre?</t>
  </si>
  <si>
    <t>Spekulationssteuer</t>
  </si>
  <si>
    <t>Verkaufsnebenkosten (€)</t>
  </si>
  <si>
    <t>Netto-Erlös</t>
  </si>
  <si>
    <t>Σ Netto-Cashflows (Jahr 1…Halte)</t>
  </si>
  <si>
    <t>Gesamtgewinn (Erlös + Cashflows)</t>
  </si>
  <si>
    <t>Vergleich: Steuerfreier Exit (ab Jahr 10)</t>
  </si>
  <si>
    <t>Verkaufspreis bei Jahr 10</t>
  </si>
  <si>
    <t>Restschuld bei Jahr 10</t>
  </si>
  <si>
    <t>Veräußerungsgewinn (Jahr 10)</t>
  </si>
  <si>
    <t>Spekulationssteuer (Jahr 10)</t>
  </si>
  <si>
    <t>Verkaufsnebenkosten (Jahr 10)</t>
  </si>
  <si>
    <t>Netto-Erlös (Jahr 10)</t>
  </si>
  <si>
    <t>Σ Netto-Cashflows (Jahr 1…10)</t>
  </si>
  <si>
    <t>Gesamtgewinn (Jahr 10)</t>
  </si>
  <si>
    <t>Differenz zu aktuellem Exit</t>
  </si>
  <si>
    <t>Eigenkapital-Optimierung</t>
  </si>
  <si>
    <t>Wie viel Eigenkapital ist für einen positiven Cashflow nötig?</t>
  </si>
  <si>
    <t>Minimum-EK für positiven Cashflow</t>
  </si>
  <si>
    <t>Eigenkapital (Eingabe)</t>
  </si>
  <si>
    <t>Eigenkapital-Anteil</t>
  </si>
  <si>
    <t>Monatsrate (Annuität)</t>
  </si>
  <si>
    <t>Block B · Eigenkapital-Varianten</t>
  </si>
  <si>
    <t>EK-Anteil</t>
  </si>
  <si>
    <t>Monatsrate</t>
  </si>
  <si>
    <t>Realwert-Analyse  ·  Inflationsbereinigte Abzinsung</t>
  </si>
  <si>
    <t>Alle 30-Jahres-Werte werden auf den heutigen Kaufkraft-Wert abgezinst.</t>
  </si>
  <si>
    <t>Angenommene Inflationsrate p.a.</t>
  </si>
  <si>
    <t>Inflationsbereinigte 30-Jahres-Betrachtung</t>
  </si>
  <si>
    <t>Nominaler Netto-Cashflow</t>
  </si>
  <si>
    <t>Abzinsungsfaktor</t>
  </si>
  <si>
    <t>Realer Netto-Cashflow</t>
  </si>
  <si>
    <t>Nominale Mieteinnahmen</t>
  </si>
  <si>
    <t>Reale Mieteinnahmen</t>
  </si>
  <si>
    <t>Nominale Restschuld</t>
  </si>
  <si>
    <t>Reale Restschuld</t>
  </si>
  <si>
    <t>Kumulierter realer Netto-Cashflow</t>
  </si>
  <si>
    <t>Kumulierter nominaler Netto-Cashflow</t>
  </si>
  <si>
    <t>Zusammenfassung</t>
  </si>
  <si>
    <t>Nominaler Gesamt-Cashflow (30 J.)</t>
  </si>
  <si>
    <t>Realer Gesamt-Cashflow (30 J.)</t>
  </si>
  <si>
    <t>Kaufkraftverlust (€)</t>
  </si>
  <si>
    <t>Kaufkraftverlust (%)</t>
  </si>
  <si>
    <t>Reale Eigenkapitalrendite (p.a., Ø)</t>
  </si>
  <si>
    <t>Break-Even-Jahr (real)</t>
  </si>
  <si>
    <t>Break-Even-Jahr (nominal)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</si>
</sst>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0.00\ %"/>
    <numFmt numFmtId="165" formatCode="#,##0.00&quot; €&quot;"/>
    <numFmt numFmtId="166" formatCode="#,##0.0\x"/>
    <numFmt numFmtId="167" formatCode="0.0%"/>
    <numFmt numFmtId="168" formatCode="#,##0&quot; €&quot;"/>
    <numFmt numFmtId="169" formatCode="0.00\ %"/>
    <numFmt numFmtId="170" formatCode="#,##0.0"/>
    <numFmt numFmtId="171" formatCode="#,##0.00\ [$€-407];[Red]\-#,##0.00\ [$€-407]"/>
    <numFmt numFmtId="172" formatCode="0.000"/>
  </numFmts>
  <fonts count="16" x14ac:knownFonts="1">
    <font>
      <sz val="11"/>
      <color theme="1"/>
      <name val="Calibri"/>
      <family val="2"/>
      <charset val="1"/>
    </font>
    <font>
      <b/>
      <sz val="16"/>
      <color rgb="FFFFFFFF"/>
      <name val="Arial"/>
      <family val="2"/>
    </font>
    <font>
      <sz val="11"/>
      <color rgb="FF3B3B3B"/>
      <name val="Calibri"/>
      <family val="2"/>
    </font>
    <font>
      <b/>
      <sz val="12"/>
      <color rgb="FF1F4E78"/>
      <name val="Arial"/>
      <family val="2"/>
    </font>
    <font>
      <b/>
      <sz val="10"/>
      <color rgb="FFFFFFFF"/>
      <name val="Arial"/>
      <family val="2"/>
    </font>
    <font>
      <b/>
      <sz val="9"/>
      <color rgb="FFFFFFFF"/>
      <name val="Arial"/>
      <family val="2"/>
    </font>
    <font>
      <b/>
      <sz val="14"/>
      <color rgb="FF008000"/>
      <name val="Arial"/>
      <family val="2"/>
    </font>
    <font>
      <b/>
      <sz val="10"/>
      <color rgb="FF000000"/>
      <name val="Arial"/>
      <family val="2"/>
    </font>
    <font>
      <sz val="10"/>
      <color rgb="FF008000"/>
      <name val="Arial"/>
      <family val="2"/>
    </font>
    <font>
      <b/>
      <sz val="10"/>
      <color rgb="FF008000"/>
      <name val="Arial"/>
      <family val="2"/>
    </font>
    <font>
      <sz val="10"/>
      <color rgb="FF000000"/>
      <name val="Arial"/>
      <family val="2"/>
    </font>
    <font>
      <b/>
      <sz val="12"/>
      <color rgb="FF000000"/>
      <name val="Arial"/>
      <family val="2"/>
    </font>
    <font>
      <b/>
      <sz val="12"/>
      <color rgb="FF008000"/>
      <name val="Arial"/>
      <family val="2"/>
    </font>
    <font>
      <b/>
      <sz val="10"/>
      <color rgb="FF375623"/>
      <name val="Arial"/>
      <family val="2"/>
    </font>
    <font>
      <i/>
      <sz val="8"/>
      <color rgb="FF808080"/>
      <name val="Arial"/>
      <family val="2"/>
    </font>
    <font>
      <b/>
      <sz val="11"/>
      <color rgb="FFFFFFFF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1F4E78"/>
        <bgColor rgb="FF2A6099"/>
      </patternFill>
    </fill>
    <fill>
      <patternFill patternType="solid">
        <fgColor rgb="FFB4C7DC"/>
        <bgColor rgb="FFB3B3B3"/>
      </patternFill>
    </fill>
    <fill>
      <patternFill patternType="solid">
        <fgColor rgb="FF729FCF"/>
        <bgColor rgb="FF9C9C9C"/>
      </patternFill>
    </fill>
    <fill>
      <patternFill patternType="solid">
        <fgColor rgb="FFF2F4F7"/>
        <bgColor rgb="FFFFFFFF"/>
      </patternFill>
    </fill>
    <fill>
      <patternFill patternType="solid">
        <fgColor rgb="FFE2EFDA"/>
        <bgColor rgb="FFF2F4F7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0" xfId="0" applyAlignment="1" applyProtection="1"/>
    <xf numFmtId="0" fontId="5" fillId="2" borderId="1" xfId="0" applyFont="1" applyFill="1" applyBorder="1" applyAlignment="1" applyProtection="1">
      <alignment horizontal="center" vertical="center" wrapText="1"/>
    </xf>
    <xf numFmtId="164" fontId="6" fillId="5" borderId="1" xfId="0" applyNumberFormat="1" applyFont="1" applyFill="1" applyBorder="1" applyAlignment="1" applyProtection="1">
      <alignment horizontal="center" vertical="center"/>
    </xf>
    <xf numFmtId="165" fontId="6" fillId="5" borderId="1" xfId="0" applyNumberFormat="1" applyFont="1" applyFill="1" applyBorder="1" applyAlignment="1" applyProtection="1">
      <alignment horizontal="center" vertical="center"/>
    </xf>
    <xf numFmtId="166" fontId="6" fillId="5" borderId="1" xfId="0" applyNumberFormat="1" applyFont="1" applyFill="1" applyBorder="1" applyAlignment="1" applyProtection="1">
      <alignment horizontal="center" vertical="center"/>
    </xf>
    <xf numFmtId="167" fontId="6" fillId="5" borderId="1" xfId="0" applyNumberFormat="1" applyFont="1" applyFill="1" applyBorder="1" applyAlignment="1" applyProtection="1">
      <alignment horizontal="center" vertical="center"/>
    </xf>
    <xf numFmtId="168" fontId="6" fillId="5" borderId="1" xfId="0" applyNumberFormat="1" applyFont="1" applyFill="1" applyBorder="1" applyAlignment="1" applyProtection="1">
      <alignment horizontal="center" vertical="center"/>
    </xf>
    <xf numFmtId="0" fontId="4" fillId="2" borderId="1" xfId="0" applyFont="1" applyFill="1" applyBorder="1" applyAlignment="1" applyProtection="1">
      <alignment horizontal="left" vertical="center" wrapText="1"/>
    </xf>
    <xf numFmtId="0" fontId="4" fillId="2" borderId="1" xfId="0" applyFont="1" applyFill="1" applyBorder="1" applyAlignment="1" applyProtection="1">
      <alignment horizontal="center" vertical="center" wrapText="1"/>
    </xf>
    <xf numFmtId="0" fontId="7" fillId="0" borderId="1" xfId="0" applyFont="1" applyBorder="1" applyAlignment="1" applyProtection="1">
      <alignment horizontal="left" vertical="center"/>
    </xf>
    <xf numFmtId="168" fontId="8" fillId="5" borderId="1" xfId="0" applyNumberFormat="1" applyFont="1" applyFill="1" applyBorder="1" applyAlignment="1" applyProtection="1">
      <alignment horizontal="right" vertical="center"/>
    </xf>
    <xf numFmtId="164" fontId="8" fillId="5" borderId="1" xfId="0" applyNumberFormat="1" applyFont="1" applyFill="1" applyBorder="1" applyAlignment="1" applyProtection="1">
      <alignment horizontal="right" vertical="center"/>
    </xf>
    <xf numFmtId="164" fontId="9" fillId="0" borderId="1" xfId="0" applyNumberFormat="1" applyFont="1" applyBorder="1" applyAlignment="1" applyProtection="1">
      <alignment horizontal="right" vertical="center"/>
    </xf>
    <xf numFmtId="0" fontId="10" fillId="0" borderId="1" xfId="0" applyFont="1" applyBorder="1" applyAlignment="1" applyProtection="1">
      <alignment horizontal="left" vertical="center"/>
    </xf>
    <xf numFmtId="168" fontId="8" fillId="0" borderId="1" xfId="0" applyNumberFormat="1" applyFont="1" applyBorder="1" applyAlignment="1" applyProtection="1">
      <alignment horizontal="right" vertical="center"/>
    </xf>
    <xf numFmtId="165" fontId="8" fillId="0" borderId="1" xfId="0" applyNumberFormat="1" applyFont="1" applyBorder="1" applyAlignment="1" applyProtection="1">
      <alignment horizontal="right" vertical="center"/>
    </xf>
    <xf numFmtId="0" fontId="0" fillId="3" borderId="0" xfId="0" applyFont="1" applyFill="1" applyAlignment="1" applyProtection="1"/>
    <xf numFmtId="0" fontId="3" fillId="3" borderId="0" xfId="0" applyFont="1" applyFill="1" applyAlignment="1" applyProtection="1"/>
    <xf numFmtId="164" fontId="11" fillId="5" borderId="1" xfId="0" applyNumberFormat="1" applyFont="1" applyFill="1" applyBorder="1" applyAlignment="1" applyProtection="1">
      <alignment horizontal="center" vertical="center"/>
    </xf>
    <xf numFmtId="165" fontId="11" fillId="5" borderId="1" xfId="0" applyNumberFormat="1" applyFont="1" applyFill="1" applyBorder="1" applyAlignment="1" applyProtection="1">
      <alignment horizontal="center" vertical="center"/>
    </xf>
    <xf numFmtId="166" fontId="11" fillId="5" borderId="1" xfId="0" applyNumberFormat="1" applyFont="1" applyFill="1" applyBorder="1" applyAlignment="1" applyProtection="1">
      <alignment horizontal="center" vertical="center"/>
    </xf>
    <xf numFmtId="167" fontId="11" fillId="5" borderId="1" xfId="0" applyNumberFormat="1" applyFont="1" applyFill="1" applyBorder="1" applyAlignment="1" applyProtection="1">
      <alignment horizontal="center" vertical="center"/>
    </xf>
    <xf numFmtId="168" fontId="11" fillId="5" borderId="1" xfId="0" applyNumberFormat="1" applyFont="1" applyFill="1" applyBorder="1" applyAlignment="1" applyProtection="1">
      <alignment horizontal="center" vertical="center"/>
    </xf>
    <xf numFmtId="168" fontId="12" fillId="5" borderId="1" xfId="0" applyNumberFormat="1" applyFont="1" applyFill="1" applyBorder="1" applyAlignment="1" applyProtection="1">
      <alignment horizontal="center" vertical="center"/>
    </xf>
    <xf numFmtId="0" fontId="10" fillId="0" borderId="1" xfId="0" applyFont="1" applyBorder="1" applyAlignment="1" applyProtection="1"/>
    <xf numFmtId="3" fontId="10" fillId="3" borderId="1" xfId="0" applyNumberFormat="1" applyFont="1" applyFill="1" applyBorder="1" applyAlignment="1" applyProtection="1">
      <alignment horizontal="right"/>
    </xf>
    <xf numFmtId="167" fontId="10" fillId="3" borderId="1" xfId="0" applyNumberFormat="1" applyFont="1" applyFill="1" applyBorder="1" applyAlignment="1" applyProtection="1">
      <alignment horizontal="right"/>
    </xf>
    <xf numFmtId="168" fontId="10" fillId="0" borderId="1" xfId="0" applyNumberFormat="1" applyFont="1" applyBorder="1" applyAlignment="1" applyProtection="1">
      <alignment horizontal="right"/>
    </xf>
    <xf numFmtId="169" fontId="10" fillId="0" borderId="1" xfId="0" applyNumberFormat="1" applyFont="1" applyBorder="1" applyAlignment="1" applyProtection="1">
      <alignment horizontal="right"/>
    </xf>
    <xf numFmtId="170" fontId="10" fillId="0" borderId="1" xfId="0" applyNumberFormat="1" applyFont="1" applyBorder="1" applyAlignment="1" applyProtection="1">
      <alignment horizontal="right"/>
    </xf>
    <xf numFmtId="0" fontId="10" fillId="6" borderId="1" xfId="0" applyFont="1" applyFill="1" applyBorder="1" applyAlignment="1" applyProtection="1"/>
    <xf numFmtId="165" fontId="13" fillId="6" borderId="1" xfId="0" applyNumberFormat="1" applyFont="1" applyFill="1" applyBorder="1" applyAlignment="1" applyProtection="1">
      <alignment horizontal="right"/>
    </xf>
    <xf numFmtId="165" fontId="10" fillId="0" borderId="1" xfId="0" applyNumberFormat="1" applyFont="1" applyBorder="1" applyAlignment="1" applyProtection="1">
      <alignment horizontal="right"/>
    </xf>
    <xf numFmtId="168" fontId="7" fillId="3" borderId="1" xfId="0" applyNumberFormat="1" applyFont="1" applyFill="1" applyBorder="1" applyAlignment="1" applyProtection="1">
      <alignment horizontal="right"/>
    </xf>
    <xf numFmtId="49" fontId="10" fillId="3" borderId="1" xfId="0" applyNumberFormat="1" applyFont="1" applyFill="1" applyBorder="1" applyAlignment="1" applyProtection="1">
      <alignment horizontal="right"/>
    </xf>
    <xf numFmtId="49" fontId="10" fillId="3" borderId="1" xfId="0" applyNumberFormat="1" applyFont="1" applyFill="1" applyBorder="1" applyAlignment="1" applyProtection="1">
      <alignment horizontal="left"/>
    </xf>
    <xf numFmtId="169" fontId="10" fillId="3" borderId="1" xfId="0" applyNumberFormat="1" applyFont="1" applyFill="1" applyBorder="1" applyAlignment="1" applyProtection="1">
      <alignment horizontal="right"/>
    </xf>
    <xf numFmtId="168" fontId="10" fillId="3" borderId="1" xfId="0" applyNumberFormat="1" applyFont="1" applyFill="1" applyBorder="1" applyAlignment="1" applyProtection="1">
      <alignment horizontal="right"/>
    </xf>
    <xf numFmtId="168" fontId="7" fillId="0" borderId="1" xfId="0" applyNumberFormat="1" applyFont="1" applyBorder="1" applyAlignment="1" applyProtection="1">
      <alignment horizontal="right"/>
    </xf>
    <xf numFmtId="169" fontId="7" fillId="0" borderId="1" xfId="0" applyNumberFormat="1" applyFont="1" applyBorder="1" applyAlignment="1" applyProtection="1">
      <alignment horizontal="right"/>
    </xf>
    <xf numFmtId="168" fontId="10" fillId="0" borderId="1" xfId="0" applyNumberFormat="1" applyFont="1" applyBorder="1" applyAlignment="1" applyProtection="1">
      <alignment horizontal="right" vertical="center"/>
    </xf>
    <xf numFmtId="164" fontId="7" fillId="0" borderId="1" xfId="0" applyNumberFormat="1" applyFont="1" applyBorder="1" applyAlignment="1" applyProtection="1">
      <alignment horizontal="right" vertical="center"/>
    </xf>
    <xf numFmtId="167" fontId="10" fillId="0" borderId="1" xfId="0" applyNumberFormat="1" applyFont="1" applyBorder="1" applyAlignment="1" applyProtection="1">
      <alignment horizontal="right"/>
    </xf>
    <xf numFmtId="171" fontId="10" fillId="3" borderId="1" xfId="0" applyNumberFormat="1" applyFont="1" applyFill="1" applyBorder="1" applyAlignment="1" applyProtection="1">
      <alignment horizontal="right"/>
    </xf>
    <xf numFmtId="165" fontId="10" fillId="3" borderId="1" xfId="0" applyNumberFormat="1" applyFont="1" applyFill="1" applyBorder="1" applyAlignment="1" applyProtection="1">
      <alignment horizontal="right"/>
    </xf>
    <xf numFmtId="165" fontId="7" fillId="0" borderId="1" xfId="0" applyNumberFormat="1" applyFont="1" applyBorder="1" applyAlignment="1" applyProtection="1">
      <alignment horizontal="right"/>
    </xf>
    <xf numFmtId="0" fontId="15" fillId="2" borderId="0" xfId="0" applyFont="1" applyFill="1" applyAlignment="1" applyProtection="1"/>
    <xf numFmtId="0" fontId="15" fillId="2" borderId="0" xfId="0" applyFont="1" applyFill="1" applyAlignment="1" applyProtection="1">
      <alignment horizontal="right"/>
    </xf>
    <xf numFmtId="0" fontId="7" fillId="5" borderId="1" xfId="0" applyFont="1" applyFill="1" applyBorder="1" applyAlignment="1" applyProtection="1"/>
    <xf numFmtId="168" fontId="7" fillId="5" borderId="1" xfId="0" applyNumberFormat="1" applyFont="1" applyFill="1" applyBorder="1" applyAlignment="1" applyProtection="1">
      <alignment horizontal="right"/>
    </xf>
    <xf numFmtId="167" fontId="10" fillId="3" borderId="1" xfId="0" applyNumberFormat="1" applyFont="1" applyFill="1" applyBorder="1" applyAlignment="1" applyProtection="1">
      <alignment horizontal="right" vertical="center"/>
    </xf>
    <xf numFmtId="164" fontId="8" fillId="0" borderId="1" xfId="0" applyNumberFormat="1" applyFont="1" applyBorder="1" applyAlignment="1" applyProtection="1">
      <alignment horizontal="right" vertical="center"/>
    </xf>
    <xf numFmtId="168" fontId="7" fillId="5" borderId="1" xfId="0" applyNumberFormat="1" applyFont="1" applyFill="1" applyBorder="1" applyAlignment="1" applyProtection="1">
      <alignment horizontal="right" vertical="center"/>
    </xf>
    <xf numFmtId="164" fontId="7" fillId="5" borderId="1" xfId="0" applyNumberFormat="1" applyFont="1" applyFill="1" applyBorder="1" applyAlignment="1" applyProtection="1">
      <alignment horizontal="right" vertical="center"/>
    </xf>
    <xf numFmtId="165" fontId="7" fillId="5" borderId="1" xfId="0" applyNumberFormat="1" applyFont="1" applyFill="1" applyBorder="1" applyAlignment="1" applyProtection="1">
      <alignment horizontal="right" vertical="center"/>
    </xf>
    <xf numFmtId="164" fontId="10" fillId="3" borderId="1" xfId="0" applyNumberFormat="1" applyFont="1" applyFill="1" applyBorder="1" applyAlignment="1" applyProtection="1">
      <alignment horizontal="right" vertical="center"/>
    </xf>
    <xf numFmtId="164" fontId="7" fillId="6" borderId="1" xfId="0" applyNumberFormat="1" applyFont="1" applyFill="1" applyBorder="1" applyAlignment="1" applyProtection="1">
      <alignment horizontal="right" vertical="center"/>
    </xf>
    <xf numFmtId="165" fontId="10" fillId="0" borderId="1" xfId="0" applyNumberFormat="1" applyFont="1" applyBorder="1" applyAlignment="1" applyProtection="1">
      <alignment horizontal="right" vertical="center"/>
    </xf>
    <xf numFmtId="165" fontId="7" fillId="6" borderId="1" xfId="0" applyNumberFormat="1" applyFont="1" applyFill="1" applyBorder="1" applyAlignment="1" applyProtection="1">
      <alignment horizontal="right" vertical="center"/>
    </xf>
    <xf numFmtId="168" fontId="7" fillId="6" borderId="1" xfId="0" applyNumberFormat="1" applyFont="1" applyFill="1" applyBorder="1" applyAlignment="1" applyProtection="1">
      <alignment horizontal="right" vertical="center"/>
    </xf>
    <xf numFmtId="3" fontId="10" fillId="0" borderId="1" xfId="0" applyNumberFormat="1" applyFont="1" applyBorder="1" applyAlignment="1" applyProtection="1">
      <alignment horizontal="right" vertical="center"/>
    </xf>
    <xf numFmtId="1" fontId="10" fillId="3" borderId="1" xfId="0" applyNumberFormat="1" applyFont="1" applyFill="1" applyBorder="1" applyAlignment="1" applyProtection="1">
      <alignment horizontal="right" vertical="center"/>
    </xf>
    <xf numFmtId="167" fontId="10" fillId="0" borderId="1" xfId="0" applyNumberFormat="1" applyFont="1" applyBorder="1" applyAlignment="1" applyProtection="1">
      <alignment horizontal="right" vertical="center"/>
    </xf>
    <xf numFmtId="168" fontId="7" fillId="0" borderId="1" xfId="0" applyNumberFormat="1" applyFont="1" applyBorder="1" applyAlignment="1" applyProtection="1">
      <alignment horizontal="right" vertical="center"/>
    </xf>
    <xf numFmtId="0" fontId="10" fillId="0" borderId="1" xfId="0" applyFont="1" applyBorder="1" applyAlignment="1" applyProtection="1">
      <alignment horizontal="right" vertical="center"/>
    </xf>
    <xf numFmtId="168" fontId="7" fillId="3" borderId="1" xfId="0" applyNumberFormat="1" applyFont="1" applyFill="1" applyBorder="1" applyAlignment="1" applyProtection="1">
      <alignment horizontal="right" vertical="center"/>
    </xf>
    <xf numFmtId="164" fontId="10" fillId="0" borderId="1" xfId="0" applyNumberFormat="1" applyFont="1" applyBorder="1" applyAlignment="1" applyProtection="1">
      <alignment horizontal="right" vertical="center"/>
    </xf>
    <xf numFmtId="167" fontId="7" fillId="3" borderId="1" xfId="0" applyNumberFormat="1" applyFont="1" applyFill="1" applyBorder="1" applyAlignment="1" applyProtection="1">
      <alignment horizontal="right" vertical="center"/>
    </xf>
    <xf numFmtId="172" fontId="10" fillId="0" borderId="1" xfId="0" applyNumberFormat="1" applyFont="1" applyBorder="1" applyAlignment="1" applyProtection="1">
      <alignment horizontal="right" vertical="center"/>
    </xf>
    <xf numFmtId="3" fontId="7" fillId="5" borderId="1" xfId="0" applyNumberFormat="1" applyFont="1" applyFill="1" applyBorder="1" applyAlignment="1" applyProtection="1">
      <alignment horizontal="right" vertical="center"/>
    </xf>
    <xf numFmtId="0" fontId="3" fillId="4" borderId="0" xfId="0" applyFont="1" applyFill="1" applyBorder="1" applyAlignment="1" applyProtection="1">
      <alignment horizontal="left" vertical="center"/>
    </xf>
    <xf numFmtId="0" fontId="1" fillId="2" borderId="0" xfId="0" applyFont="1" applyFill="1" applyBorder="1" applyAlignment="1" applyProtection="1">
      <alignment horizontal="left" vertical="center"/>
    </xf>
    <xf numFmtId="0" fontId="2" fillId="3" borderId="0" xfId="0" applyFont="1" applyFill="1" applyBorder="1" applyAlignment="1" applyProtection="1">
      <alignment horizontal="left" vertical="center" wrapText="1"/>
    </xf>
    <xf numFmtId="0" fontId="4" fillId="2" borderId="1" xfId="0" applyFont="1" applyFill="1" applyBorder="1" applyAlignment="1" applyProtection="1">
      <alignment horizontal="left" vertical="center"/>
    </xf>
    <xf numFmtId="0" fontId="3" fillId="4" borderId="0" xfId="0" applyFont="1" applyFill="1" applyBorder="1" applyAlignment="1" applyProtection="1"/>
    <xf numFmtId="0" fontId="14" fillId="0" borderId="0" xfId="0" applyFont="1" applyBorder="1" applyAlignment="1" applyProtection="1">
      <alignment horizontal="left" wrapText="1"/>
    </xf>
    <xf numFmtId="0" fontId="7" fillId="0" borderId="1" xfId="0" applyFont="1" applyBorder="1" applyAlignment="1" applyProtection="1">
      <alignment horizontal="center" vertical="center" wrapText="1"/>
    </xf>
  </cellXfs>
  <cellStyles count="1">
    <cellStyle name="Standard" xfId="0" builtinId="0"/>
  </cellStyles>
  <dxfs count="5">
    <dxf>
      <font>
        <b/>
        <sz val="10"/>
        <color rgb="FF006100"/>
        <name val="Arial"/>
        <charset val="1"/>
      </font>
    </dxf>
    <dxf>
      <font>
        <b/>
        <sz val="10"/>
        <color rgb="FF006100"/>
        <name val="Arial"/>
        <charset val="1"/>
      </font>
      <fill>
        <patternFill>
          <bgColor rgb="FFC6EFCE"/>
        </patternFill>
      </fill>
    </dxf>
    <dxf>
      <font>
        <b/>
        <sz val="10"/>
        <color rgb="FF9C0006"/>
        <name val="Arial"/>
        <charset val="1"/>
      </font>
      <fill>
        <patternFill>
          <bgColor rgb="FFFFC7CE"/>
        </patternFill>
      </fill>
    </dxf>
    <dxf>
      <font>
        <b/>
        <sz val="10"/>
        <color rgb="FF006100"/>
        <name val="Arial"/>
        <charset val="1"/>
      </font>
      <fill>
        <patternFill>
          <bgColor rgb="FFC6EFCE"/>
        </patternFill>
      </fill>
    </dxf>
    <dxf>
      <font>
        <b/>
        <sz val="10"/>
        <color rgb="FF9C0006"/>
        <name val="Arial"/>
        <charset val="1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008000"/>
      <rgbColor rgb="FF000080"/>
      <rgbColor rgb="FF808000"/>
      <rgbColor rgb="FF800080"/>
      <rgbColor rgb="FF008080"/>
      <rgbColor rgb="FFB4C7DC"/>
      <rgbColor rgb="FF808080"/>
      <rgbColor rgb="FF729FCF"/>
      <rgbColor rgb="FF993366"/>
      <rgbColor rgb="FFF2F4F7"/>
      <rgbColor rgb="FFE2EFDA"/>
      <rgbColor rgb="FF660066"/>
      <rgbColor rgb="FFFF8080"/>
      <rgbColor rgb="FF2A6099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B3B3B3"/>
      <rgbColor rgb="FFFF99CC"/>
      <rgbColor rgb="FFCC99FF"/>
      <rgbColor rgb="FFFFC7CE"/>
      <rgbColor rgb="FF3366FF"/>
      <rgbColor rgb="FF33CCCC"/>
      <rgbColor rgb="FF99CC00"/>
      <rgbColor rgb="FFFFCC00"/>
      <rgbColor rgb="FFFF9900"/>
      <rgbColor rgb="FFFF6600"/>
      <rgbColor rgb="FF666699"/>
      <rgbColor rgb="FF9C9C9C"/>
      <rgbColor rgb="FF003366"/>
      <rgbColor rgb="FF339966"/>
      <rgbColor rgb="FF006100"/>
      <rgbColor rgb="FF375623"/>
      <rgbColor rgb="FF993300"/>
      <rgbColor rgb="FF993366"/>
      <rgbColor rgb="FF1F4E78"/>
      <rgbColor rgb="FF3B3B3B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c:style val="2"/>
  <c:chart>
    <c:title>
      <c:tx>
        <c:rich>
          <a:bodyPr rot="0"/>
          <a:lstStyle/>
          <a:p>
            <a:pPr>
              <a:defRPr sz="1300" b="0" u="none" strike="noStrike">
                <a:uFillTx/>
                <a:latin typeface="Arial"/>
              </a:defRPr>
            </a:pPr>
            <a:r>
              <a:rPr sz="1800" b="1" u="none" strike="noStrike">
                <a:solidFill>
                  <a:srgbClr val="000000"/>
                </a:solidFill>
                <a:uFillTx/>
                <a:latin typeface="Calibri"/>
              </a:rPr>
              <a:t>Netto-Cashflow nach Steuern (30 Jahre)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'Immobilien-Kalkulation'!$A$107</c:f>
              <c:strCache>
                <c:ptCount val="1"/>
                <c:pt idx="0">
                  <c:v>8. Netto-Cashflow nach Steuern</c:v>
                </c:pt>
              </c:strCache>
            </c:strRef>
          </c:tx>
          <c:spPr>
            <a:solidFill>
              <a:srgbClr val="729FCF"/>
            </a:solidFill>
            <a:ln w="12600">
              <a:solidFill>
                <a:srgbClr val="729FCF"/>
              </a:solidFill>
              <a:round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Arial"/>
                  </a:defRPr>
                </a:pPr>
                <a:endParaRPr lang="de-DE"/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0">
                      <a:solidFill>
                        <a:srgbClr val="729FCF"/>
                      </a:solidFill>
                    </a:ln>
                  </c:spPr>
                </c15:leaderLines>
              </c:ext>
            </c:extLst>
          </c:dLbls>
          <c:cat>
            <c:strRef>
              <c:f>'Immobilien-Kalkulation'!$B$99:$AE$99</c:f>
              <c:strCache>
                <c:ptCount val="30"/>
                <c:pt idx="0">
                  <c:v>Jahr 1</c:v>
                </c:pt>
                <c:pt idx="1">
                  <c:v>Jahr 2</c:v>
                </c:pt>
                <c:pt idx="2">
                  <c:v>Jahr 3</c:v>
                </c:pt>
                <c:pt idx="3">
                  <c:v>Jahr 4</c:v>
                </c:pt>
                <c:pt idx="4">
                  <c:v>Jahr 5</c:v>
                </c:pt>
                <c:pt idx="5">
                  <c:v>Jahr 6</c:v>
                </c:pt>
                <c:pt idx="6">
                  <c:v>Jahr 7</c:v>
                </c:pt>
                <c:pt idx="7">
                  <c:v>Jahr 8</c:v>
                </c:pt>
                <c:pt idx="8">
                  <c:v>Jahr 9</c:v>
                </c:pt>
                <c:pt idx="9">
                  <c:v>Jahr 10</c:v>
                </c:pt>
                <c:pt idx="10">
                  <c:v>Jahr 11</c:v>
                </c:pt>
                <c:pt idx="11">
                  <c:v>Jahr 12</c:v>
                </c:pt>
                <c:pt idx="12">
                  <c:v>Jahr 13</c:v>
                </c:pt>
                <c:pt idx="13">
                  <c:v>Jahr 14</c:v>
                </c:pt>
                <c:pt idx="14">
                  <c:v>Jahr 15</c:v>
                </c:pt>
                <c:pt idx="15">
                  <c:v>Jahr 16</c:v>
                </c:pt>
                <c:pt idx="16">
                  <c:v>Jahr 17</c:v>
                </c:pt>
                <c:pt idx="17">
                  <c:v>Jahr 18</c:v>
                </c:pt>
                <c:pt idx="18">
                  <c:v>Jahr 19</c:v>
                </c:pt>
                <c:pt idx="19">
                  <c:v>Jahr 20</c:v>
                </c:pt>
                <c:pt idx="20">
                  <c:v>Jahr 21</c:v>
                </c:pt>
                <c:pt idx="21">
                  <c:v>Jahr 22</c:v>
                </c:pt>
                <c:pt idx="22">
                  <c:v>Jahr 23</c:v>
                </c:pt>
                <c:pt idx="23">
                  <c:v>Jahr 24</c:v>
                </c:pt>
                <c:pt idx="24">
                  <c:v>Jahr 25</c:v>
                </c:pt>
                <c:pt idx="25">
                  <c:v>Jahr 26</c:v>
                </c:pt>
                <c:pt idx="26">
                  <c:v>Jahr 27</c:v>
                </c:pt>
                <c:pt idx="27">
                  <c:v>Jahr 28</c:v>
                </c:pt>
                <c:pt idx="28">
                  <c:v>Jahr 29</c:v>
                </c:pt>
                <c:pt idx="29">
                  <c:v>Jahr 30</c:v>
                </c:pt>
              </c:strCache>
            </c:strRef>
          </c:cat>
          <c:val>
            <c:numRef>
              <c:f>'Immobilien-Kalkulation'!$B$107:$AE$107</c:f>
              <c:numCache>
                <c:formatCode>#,##0" €"</c:formatCode>
                <c:ptCount val="30"/>
                <c:pt idx="0">
                  <c:v>-4948.1335000000017</c:v>
                </c:pt>
                <c:pt idx="1">
                  <c:v>-4757.3335000000025</c:v>
                </c:pt>
                <c:pt idx="2">
                  <c:v>-4562.7175000000007</c:v>
                </c:pt>
                <c:pt idx="3">
                  <c:v>-4364.2091799999998</c:v>
                </c:pt>
                <c:pt idx="4">
                  <c:v>-4161.7306936000004</c:v>
                </c:pt>
                <c:pt idx="5">
                  <c:v>-3955.2026374719994</c:v>
                </c:pt>
                <c:pt idx="6">
                  <c:v>-3744.54402022144</c:v>
                </c:pt>
                <c:pt idx="7">
                  <c:v>-3529.6722306258694</c:v>
                </c:pt>
                <c:pt idx="8">
                  <c:v>-3310.5030052383868</c:v>
                </c:pt>
                <c:pt idx="9">
                  <c:v>-3086.9503953431526</c:v>
                </c:pt>
                <c:pt idx="10">
                  <c:v>-2858.9267332500172</c:v>
                </c:pt>
                <c:pt idx="11">
                  <c:v>-2626.3425979150165</c:v>
                </c:pt>
                <c:pt idx="12">
                  <c:v>-2389.1067798733152</c:v>
                </c:pt>
                <c:pt idx="13">
                  <c:v>-2147.1262454707817</c:v>
                </c:pt>
                <c:pt idx="14">
                  <c:v>-1900.3061003801963</c:v>
                </c:pt>
                <c:pt idx="15">
                  <c:v>-1648.5495523878003</c:v>
                </c:pt>
                <c:pt idx="16">
                  <c:v>-1391.7578734355543</c:v>
                </c:pt>
                <c:pt idx="17">
                  <c:v>-1129.8303609042655</c:v>
                </c:pt>
                <c:pt idx="18">
                  <c:v>-862.66429812235265</c:v>
                </c:pt>
                <c:pt idx="19">
                  <c:v>-590.15491408480057</c:v>
                </c:pt>
                <c:pt idx="20">
                  <c:v>-312.19534236649679</c:v>
                </c:pt>
                <c:pt idx="21">
                  <c:v>-28.676579213827154</c:v>
                </c:pt>
                <c:pt idx="22">
                  <c:v>260.51255920189533</c:v>
                </c:pt>
                <c:pt idx="23">
                  <c:v>555.48548038593572</c:v>
                </c:pt>
                <c:pt idx="24">
                  <c:v>856.35785999365498</c:v>
                </c:pt>
                <c:pt idx="25">
                  <c:v>1163.2476871935301</c:v>
                </c:pt>
                <c:pt idx="26">
                  <c:v>1476.2753109374003</c:v>
                </c:pt>
                <c:pt idx="27">
                  <c:v>1795.5634871561483</c:v>
                </c:pt>
                <c:pt idx="28">
                  <c:v>2121.2374268992694</c:v>
                </c:pt>
                <c:pt idx="29">
                  <c:v>2453.424845437255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297-4C07-885F-975D46B370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110436"/>
        <c:axId val="77489847"/>
      </c:barChart>
      <c:catAx>
        <c:axId val="1111043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uFillTx/>
                <a:latin typeface="Calibri"/>
              </a:defRPr>
            </a:pPr>
            <a:endParaRPr lang="de-DE"/>
          </a:p>
        </c:txPr>
        <c:crossAx val="77489847"/>
        <c:crosses val="autoZero"/>
        <c:auto val="1"/>
        <c:lblAlgn val="ctr"/>
        <c:lblOffset val="100"/>
        <c:noMultiLvlLbl val="0"/>
      </c:catAx>
      <c:valAx>
        <c:axId val="77489847"/>
        <c:scaling>
          <c:orientation val="minMax"/>
        </c:scaling>
        <c:delete val="0"/>
        <c:axPos val="l"/>
        <c:numFmt formatCode="#,##0" sourceLinked="0"/>
        <c:majorTickMark val="none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uFillTx/>
                <a:latin typeface="Calibri"/>
              </a:defRPr>
            </a:pPr>
            <a:endParaRPr lang="de-DE"/>
          </a:p>
        </c:txPr>
        <c:crossAx val="11110436"/>
        <c:crosses val="autoZero"/>
        <c:crossBetween val="between"/>
      </c:valAx>
      <c:spPr>
        <a:solidFill>
          <a:srgbClr val="FFFFFF"/>
        </a:solidFill>
        <a:ln w="0">
          <a:noFill/>
        </a:ln>
      </c:spPr>
    </c:plotArea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c:style val="2"/>
  <c:chart>
    <c:title>
      <c:tx>
        <c:rich>
          <a:bodyPr rot="0"/>
          <a:lstStyle/>
          <a:p>
            <a:pPr>
              <a:defRPr sz="1300" b="0" u="none" strike="noStrike">
                <a:uFillTx/>
                <a:latin typeface="Arial"/>
              </a:defRPr>
            </a:pPr>
            <a:r>
              <a:rPr sz="1800" b="1" u="none" strike="noStrike">
                <a:solidFill>
                  <a:srgbClr val="000000"/>
                </a:solidFill>
                <a:uFillTx/>
                <a:latin typeface="Calibri"/>
              </a:rPr>
              <a:t>Kumulierter Cashflow: nominal vs. real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'Realwert-Analyse'!$A$15</c:f>
              <c:strCache>
                <c:ptCount val="1"/>
                <c:pt idx="0">
                  <c:v>Kumulierter nominaler Netto-Cashflow</c:v>
                </c:pt>
              </c:strCache>
            </c:strRef>
          </c:tx>
          <c:spPr>
            <a:ln w="28080">
              <a:solidFill>
                <a:srgbClr val="1F4E78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Arial"/>
                  </a:defRPr>
                </a:pPr>
                <a:endParaRPr lang="de-DE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28080">
                      <a:solidFill>
                        <a:srgbClr val="000000"/>
                      </a:solidFill>
                    </a:ln>
                  </c:spPr>
                </c15:leaderLines>
              </c:ext>
            </c:extLst>
          </c:dLbls>
          <c:cat>
            <c:strRef>
              <c:f>'Realwert-Analyse'!$B$6:$AE$6</c:f>
              <c:strCache>
                <c:ptCount val="30"/>
                <c:pt idx="0">
                  <c:v>Jahr 1</c:v>
                </c:pt>
                <c:pt idx="1">
                  <c:v>Jahr 2</c:v>
                </c:pt>
                <c:pt idx="2">
                  <c:v>Jahr 3</c:v>
                </c:pt>
                <c:pt idx="3">
                  <c:v>Jahr 4</c:v>
                </c:pt>
                <c:pt idx="4">
                  <c:v>Jahr 5</c:v>
                </c:pt>
                <c:pt idx="5">
                  <c:v>Jahr 6</c:v>
                </c:pt>
                <c:pt idx="6">
                  <c:v>Jahr 7</c:v>
                </c:pt>
                <c:pt idx="7">
                  <c:v>Jahr 8</c:v>
                </c:pt>
                <c:pt idx="8">
                  <c:v>Jahr 9</c:v>
                </c:pt>
                <c:pt idx="9">
                  <c:v>Jahr 10</c:v>
                </c:pt>
                <c:pt idx="10">
                  <c:v>Jahr 11</c:v>
                </c:pt>
                <c:pt idx="11">
                  <c:v>Jahr 12</c:v>
                </c:pt>
                <c:pt idx="12">
                  <c:v>Jahr 13</c:v>
                </c:pt>
                <c:pt idx="13">
                  <c:v>Jahr 14</c:v>
                </c:pt>
                <c:pt idx="14">
                  <c:v>Jahr 15</c:v>
                </c:pt>
                <c:pt idx="15">
                  <c:v>Jahr 16</c:v>
                </c:pt>
                <c:pt idx="16">
                  <c:v>Jahr 17</c:v>
                </c:pt>
                <c:pt idx="17">
                  <c:v>Jahr 18</c:v>
                </c:pt>
                <c:pt idx="18">
                  <c:v>Jahr 19</c:v>
                </c:pt>
                <c:pt idx="19">
                  <c:v>Jahr 20</c:v>
                </c:pt>
                <c:pt idx="20">
                  <c:v>Jahr 21</c:v>
                </c:pt>
                <c:pt idx="21">
                  <c:v>Jahr 22</c:v>
                </c:pt>
                <c:pt idx="22">
                  <c:v>Jahr 23</c:v>
                </c:pt>
                <c:pt idx="23">
                  <c:v>Jahr 24</c:v>
                </c:pt>
                <c:pt idx="24">
                  <c:v>Jahr 25</c:v>
                </c:pt>
                <c:pt idx="25">
                  <c:v>Jahr 26</c:v>
                </c:pt>
                <c:pt idx="26">
                  <c:v>Jahr 27</c:v>
                </c:pt>
                <c:pt idx="27">
                  <c:v>Jahr 28</c:v>
                </c:pt>
                <c:pt idx="28">
                  <c:v>Jahr 29</c:v>
                </c:pt>
                <c:pt idx="29">
                  <c:v>Jahr 30</c:v>
                </c:pt>
              </c:strCache>
            </c:strRef>
          </c:cat>
          <c:val>
            <c:numRef>
              <c:f>'Realwert-Analyse'!$B$15:$AE$15</c:f>
              <c:numCache>
                <c:formatCode>#,##0" €"</c:formatCode>
                <c:ptCount val="30"/>
                <c:pt idx="0">
                  <c:v>-4948.1335000000017</c:v>
                </c:pt>
                <c:pt idx="1">
                  <c:v>-9705.4670000000042</c:v>
                </c:pt>
                <c:pt idx="2">
                  <c:v>-14268.184500000005</c:v>
                </c:pt>
                <c:pt idx="3">
                  <c:v>-18632.393680000005</c:v>
                </c:pt>
                <c:pt idx="4">
                  <c:v>-22794.124373600003</c:v>
                </c:pt>
                <c:pt idx="5">
                  <c:v>-26749.327011072004</c:v>
                </c:pt>
                <c:pt idx="6">
                  <c:v>-30493.871031293445</c:v>
                </c:pt>
                <c:pt idx="7">
                  <c:v>-34023.543261919316</c:v>
                </c:pt>
                <c:pt idx="8">
                  <c:v>-37334.046267157704</c:v>
                </c:pt>
                <c:pt idx="9">
                  <c:v>-40420.99666250086</c:v>
                </c:pt>
                <c:pt idx="10">
                  <c:v>-43279.923395750877</c:v>
                </c:pt>
                <c:pt idx="11">
                  <c:v>-45906.265993665897</c:v>
                </c:pt>
                <c:pt idx="12">
                  <c:v>-48295.372773539209</c:v>
                </c:pt>
                <c:pt idx="13">
                  <c:v>-50442.499019009992</c:v>
                </c:pt>
                <c:pt idx="14">
                  <c:v>-52342.805119390192</c:v>
                </c:pt>
                <c:pt idx="15">
                  <c:v>-53991.35467177799</c:v>
                </c:pt>
                <c:pt idx="16">
                  <c:v>-55383.112545213546</c:v>
                </c:pt>
                <c:pt idx="17">
                  <c:v>-56512.942906117809</c:v>
                </c:pt>
                <c:pt idx="18">
                  <c:v>-57375.607204240165</c:v>
                </c:pt>
                <c:pt idx="19">
                  <c:v>-57965.762118324965</c:v>
                </c:pt>
                <c:pt idx="20">
                  <c:v>-58277.957460691461</c:v>
                </c:pt>
                <c:pt idx="21">
                  <c:v>-58306.634039905286</c:v>
                </c:pt>
                <c:pt idx="22">
                  <c:v>-58046.12148070339</c:v>
                </c:pt>
                <c:pt idx="23">
                  <c:v>-57490.636000317456</c:v>
                </c:pt>
                <c:pt idx="24">
                  <c:v>-56634.278140323804</c:v>
                </c:pt>
                <c:pt idx="25">
                  <c:v>-55471.030453130275</c:v>
                </c:pt>
                <c:pt idx="26">
                  <c:v>-53994.755142192873</c:v>
                </c:pt>
                <c:pt idx="27">
                  <c:v>-52199.191655036724</c:v>
                </c:pt>
                <c:pt idx="28">
                  <c:v>-50077.954228137452</c:v>
                </c:pt>
                <c:pt idx="29">
                  <c:v>-47624.529382700195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411-4920-AC80-886960E29F96}"/>
            </c:ext>
          </c:extLst>
        </c:ser>
        <c:ser>
          <c:idx val="1"/>
          <c:order val="1"/>
          <c:tx>
            <c:strRef>
              <c:f>'Realwert-Analyse'!$A$14</c:f>
              <c:strCache>
                <c:ptCount val="1"/>
                <c:pt idx="0">
                  <c:v>Kumulierter realer Netto-Cashflow</c:v>
                </c:pt>
              </c:strCache>
            </c:strRef>
          </c:tx>
          <c:spPr>
            <a:ln w="28080">
              <a:solidFill>
                <a:srgbClr val="9C9C9C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Arial"/>
                  </a:defRPr>
                </a:pPr>
                <a:endParaRPr lang="de-DE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28080">
                      <a:solidFill>
                        <a:srgbClr val="000000"/>
                      </a:solidFill>
                    </a:ln>
                  </c:spPr>
                </c15:leaderLines>
              </c:ext>
            </c:extLst>
          </c:dLbls>
          <c:cat>
            <c:strRef>
              <c:f>'Realwert-Analyse'!$B$6:$AE$6</c:f>
              <c:strCache>
                <c:ptCount val="30"/>
                <c:pt idx="0">
                  <c:v>Jahr 1</c:v>
                </c:pt>
                <c:pt idx="1">
                  <c:v>Jahr 2</c:v>
                </c:pt>
                <c:pt idx="2">
                  <c:v>Jahr 3</c:v>
                </c:pt>
                <c:pt idx="3">
                  <c:v>Jahr 4</c:v>
                </c:pt>
                <c:pt idx="4">
                  <c:v>Jahr 5</c:v>
                </c:pt>
                <c:pt idx="5">
                  <c:v>Jahr 6</c:v>
                </c:pt>
                <c:pt idx="6">
                  <c:v>Jahr 7</c:v>
                </c:pt>
                <c:pt idx="7">
                  <c:v>Jahr 8</c:v>
                </c:pt>
                <c:pt idx="8">
                  <c:v>Jahr 9</c:v>
                </c:pt>
                <c:pt idx="9">
                  <c:v>Jahr 10</c:v>
                </c:pt>
                <c:pt idx="10">
                  <c:v>Jahr 11</c:v>
                </c:pt>
                <c:pt idx="11">
                  <c:v>Jahr 12</c:v>
                </c:pt>
                <c:pt idx="12">
                  <c:v>Jahr 13</c:v>
                </c:pt>
                <c:pt idx="13">
                  <c:v>Jahr 14</c:v>
                </c:pt>
                <c:pt idx="14">
                  <c:v>Jahr 15</c:v>
                </c:pt>
                <c:pt idx="15">
                  <c:v>Jahr 16</c:v>
                </c:pt>
                <c:pt idx="16">
                  <c:v>Jahr 17</c:v>
                </c:pt>
                <c:pt idx="17">
                  <c:v>Jahr 18</c:v>
                </c:pt>
                <c:pt idx="18">
                  <c:v>Jahr 19</c:v>
                </c:pt>
                <c:pt idx="19">
                  <c:v>Jahr 20</c:v>
                </c:pt>
                <c:pt idx="20">
                  <c:v>Jahr 21</c:v>
                </c:pt>
                <c:pt idx="21">
                  <c:v>Jahr 22</c:v>
                </c:pt>
                <c:pt idx="22">
                  <c:v>Jahr 23</c:v>
                </c:pt>
                <c:pt idx="23">
                  <c:v>Jahr 24</c:v>
                </c:pt>
                <c:pt idx="24">
                  <c:v>Jahr 25</c:v>
                </c:pt>
                <c:pt idx="25">
                  <c:v>Jahr 26</c:v>
                </c:pt>
                <c:pt idx="26">
                  <c:v>Jahr 27</c:v>
                </c:pt>
                <c:pt idx="27">
                  <c:v>Jahr 28</c:v>
                </c:pt>
                <c:pt idx="28">
                  <c:v>Jahr 29</c:v>
                </c:pt>
                <c:pt idx="29">
                  <c:v>Jahr 30</c:v>
                </c:pt>
              </c:strCache>
            </c:strRef>
          </c:cat>
          <c:val>
            <c:numRef>
              <c:f>'Realwert-Analyse'!$B$14:$AE$14</c:f>
              <c:numCache>
                <c:formatCode>#,##0" €"</c:formatCode>
                <c:ptCount val="30"/>
                <c:pt idx="0">
                  <c:v>-4827.4473170731726</c:v>
                </c:pt>
                <c:pt idx="1">
                  <c:v>-9355.545829863182</c:v>
                </c:pt>
                <c:pt idx="2">
                  <c:v>-13592.48261255641</c:v>
                </c:pt>
                <c:pt idx="3">
                  <c:v>-17546.240733218419</c:v>
                </c:pt>
                <c:pt idx="4">
                  <c:v>-21224.60425063291</c:v>
                </c:pt>
                <c:pt idx="5">
                  <c:v>-24635.163089163736</c:v>
                </c:pt>
                <c:pt idx="6">
                  <c:v>-27785.317794615537</c:v>
                </c:pt>
                <c:pt idx="7">
                  <c:v>-30682.284173995915</c:v>
                </c:pt>
                <c:pt idx="8">
                  <c:v>-33333.097822011368</c:v>
                </c:pt>
                <c:pt idx="9">
                  <c:v>-35744.618537060043</c:v>
                </c:pt>
                <c:pt idx="10">
                  <c:v>-37923.534629416987</c:v>
                </c:pt>
                <c:pt idx="11">
                  <c:v>-39876.367124241879</c:v>
                </c:pt>
                <c:pt idx="12">
                  <c:v>-41609.473861974999</c:v>
                </c:pt>
                <c:pt idx="13">
                  <c:v>-43129.053498624649</c:v>
                </c:pt>
                <c:pt idx="14">
                  <c:v>-44441.149408388184</c:v>
                </c:pt>
                <c:pt idx="15">
                  <c:v>-45551.653490989258</c:v>
                </c:pt>
                <c:pt idx="16">
                  <c:v>-46466.309886055737</c:v>
                </c:pt>
                <c:pt idx="17">
                  <c:v>-47190.718596806058</c:v>
                </c:pt>
                <c:pt idx="18">
                  <c:v>-47730.339025256479</c:v>
                </c:pt>
                <c:pt idx="19">
                  <c:v>-48090.493421107785</c:v>
                </c:pt>
                <c:pt idx="20">
                  <c:v>-48276.370246417187</c:v>
                </c:pt>
                <c:pt idx="21">
                  <c:v>-48293.027458110024</c:v>
                </c:pt>
                <c:pt idx="22">
                  <c:v>-48145.395710335542</c:v>
                </c:pt>
                <c:pt idx="23">
                  <c:v>-47838.281478622259</c:v>
                </c:pt>
                <c:pt idx="24">
                  <c:v>-47376.37010774076</c:v>
                </c:pt>
                <c:pt idx="25">
                  <c:v>-46764.22878513507</c:v>
                </c:pt>
                <c:pt idx="26">
                  <c:v>-46006.309441738573</c:v>
                </c:pt>
                <c:pt idx="27">
                  <c:v>-45106.951581945934</c:v>
                </c:pt>
                <c:pt idx="28">
                  <c:v>-44070.385044469447</c:v>
                </c:pt>
                <c:pt idx="29">
                  <c:v>-42900.732695765982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411-4920-AC80-886960E29F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smooth val="0"/>
        <c:axId val="58195776"/>
        <c:axId val="56493784"/>
      </c:lineChart>
      <c:catAx>
        <c:axId val="5819577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uFillTx/>
                <a:latin typeface="Calibri"/>
              </a:defRPr>
            </a:pPr>
            <a:endParaRPr lang="de-DE"/>
          </a:p>
        </c:txPr>
        <c:crossAx val="56493784"/>
        <c:crosses val="autoZero"/>
        <c:auto val="1"/>
        <c:lblAlgn val="ctr"/>
        <c:lblOffset val="100"/>
        <c:noMultiLvlLbl val="0"/>
      </c:catAx>
      <c:valAx>
        <c:axId val="56493784"/>
        <c:scaling>
          <c:orientation val="minMax"/>
        </c:scaling>
        <c:delete val="0"/>
        <c:axPos val="l"/>
        <c:numFmt formatCode="#,##0" sourceLinked="0"/>
        <c:majorTickMark val="none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uFillTx/>
                <a:latin typeface="Calibri"/>
              </a:defRPr>
            </a:pPr>
            <a:endParaRPr lang="de-DE"/>
          </a:p>
        </c:txPr>
        <c:crossAx val="58195776"/>
        <c:crosses val="autoZero"/>
        <c:crossBetween val="between"/>
      </c:valAx>
      <c:spPr>
        <a:solidFill>
          <a:srgbClr val="FFFFFF"/>
        </a:solidFill>
        <a:ln w="0">
          <a:noFill/>
        </a:ln>
      </c:spPr>
    </c:plotArea>
    <c:legend>
      <c:legendPos val="b"/>
      <c:overlay val="0"/>
      <c:spPr>
        <a:noFill/>
        <a:ln w="0">
          <a:noFill/>
        </a:ln>
      </c:spPr>
      <c:txPr>
        <a:bodyPr/>
        <a:lstStyle/>
        <a:p>
          <a:pPr>
            <a:defRPr sz="1000" b="0" u="none" strike="noStrike">
              <a:solidFill>
                <a:srgbClr val="000000"/>
              </a:solidFill>
              <a:uFillTx/>
              <a:latin typeface="Calibri"/>
            </a:defRPr>
          </a:pPr>
          <a:endParaRPr lang="de-DE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c:style val="2"/>
  <c:chart>
    <c:title>
      <c:tx>
        <c:rich>
          <a:bodyPr rot="0"/>
          <a:lstStyle/>
          <a:p>
            <a:pPr>
              <a:defRPr sz="1300" b="0" u="none" strike="noStrike">
                <a:uFillTx/>
                <a:latin typeface="Arial"/>
              </a:defRPr>
            </a:pPr>
            <a:r>
              <a:rPr sz="1800" b="1" u="none" strike="noStrike">
                <a:solidFill>
                  <a:srgbClr val="000000"/>
                </a:solidFill>
                <a:uFillTx/>
                <a:latin typeface="Calibri"/>
              </a:rPr>
              <a:t>Restschuld-Verlauf (30 Jahre)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'Immobilien-Kalkulation'!$A$108</c:f>
              <c:strCache>
                <c:ptCount val="1"/>
                <c:pt idx="0">
                  <c:v>9. Restschuld</c:v>
                </c:pt>
              </c:strCache>
            </c:strRef>
          </c:tx>
          <c:spPr>
            <a:ln w="28080">
              <a:solidFill>
                <a:srgbClr val="1F4E78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Arial"/>
                  </a:defRPr>
                </a:pPr>
                <a:endParaRPr lang="de-DE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28080">
                      <a:solidFill>
                        <a:srgbClr val="000000"/>
                      </a:solidFill>
                    </a:ln>
                  </c:spPr>
                </c15:leaderLines>
              </c:ext>
            </c:extLst>
          </c:dLbls>
          <c:cat>
            <c:strRef>
              <c:f>'Immobilien-Kalkulation'!$B$99:$AE$99</c:f>
              <c:strCache>
                <c:ptCount val="30"/>
                <c:pt idx="0">
                  <c:v>Jahr 1</c:v>
                </c:pt>
                <c:pt idx="1">
                  <c:v>Jahr 2</c:v>
                </c:pt>
                <c:pt idx="2">
                  <c:v>Jahr 3</c:v>
                </c:pt>
                <c:pt idx="3">
                  <c:v>Jahr 4</c:v>
                </c:pt>
                <c:pt idx="4">
                  <c:v>Jahr 5</c:v>
                </c:pt>
                <c:pt idx="5">
                  <c:v>Jahr 6</c:v>
                </c:pt>
                <c:pt idx="6">
                  <c:v>Jahr 7</c:v>
                </c:pt>
                <c:pt idx="7">
                  <c:v>Jahr 8</c:v>
                </c:pt>
                <c:pt idx="8">
                  <c:v>Jahr 9</c:v>
                </c:pt>
                <c:pt idx="9">
                  <c:v>Jahr 10</c:v>
                </c:pt>
                <c:pt idx="10">
                  <c:v>Jahr 11</c:v>
                </c:pt>
                <c:pt idx="11">
                  <c:v>Jahr 12</c:v>
                </c:pt>
                <c:pt idx="12">
                  <c:v>Jahr 13</c:v>
                </c:pt>
                <c:pt idx="13">
                  <c:v>Jahr 14</c:v>
                </c:pt>
                <c:pt idx="14">
                  <c:v>Jahr 15</c:v>
                </c:pt>
                <c:pt idx="15">
                  <c:v>Jahr 16</c:v>
                </c:pt>
                <c:pt idx="16">
                  <c:v>Jahr 17</c:v>
                </c:pt>
                <c:pt idx="17">
                  <c:v>Jahr 18</c:v>
                </c:pt>
                <c:pt idx="18">
                  <c:v>Jahr 19</c:v>
                </c:pt>
                <c:pt idx="19">
                  <c:v>Jahr 20</c:v>
                </c:pt>
                <c:pt idx="20">
                  <c:v>Jahr 21</c:v>
                </c:pt>
                <c:pt idx="21">
                  <c:v>Jahr 22</c:v>
                </c:pt>
                <c:pt idx="22">
                  <c:v>Jahr 23</c:v>
                </c:pt>
                <c:pt idx="23">
                  <c:v>Jahr 24</c:v>
                </c:pt>
                <c:pt idx="24">
                  <c:v>Jahr 25</c:v>
                </c:pt>
                <c:pt idx="25">
                  <c:v>Jahr 26</c:v>
                </c:pt>
                <c:pt idx="26">
                  <c:v>Jahr 27</c:v>
                </c:pt>
                <c:pt idx="27">
                  <c:v>Jahr 28</c:v>
                </c:pt>
                <c:pt idx="28">
                  <c:v>Jahr 29</c:v>
                </c:pt>
                <c:pt idx="29">
                  <c:v>Jahr 30</c:v>
                </c:pt>
              </c:strCache>
            </c:strRef>
          </c:cat>
          <c:val>
            <c:numRef>
              <c:f>'Immobilien-Kalkulation'!$B$108:$AE$108</c:f>
              <c:numCache>
                <c:formatCode>#,##0" €"</c:formatCode>
                <c:ptCount val="30"/>
                <c:pt idx="0">
                  <c:v>312076.09999999998</c:v>
                </c:pt>
                <c:pt idx="1">
                  <c:v>305484.28849999997</c:v>
                </c:pt>
                <c:pt idx="2">
                  <c:v>298661.76359749999</c:v>
                </c:pt>
                <c:pt idx="3">
                  <c:v>291600.45032341249</c:v>
                </c:pt>
                <c:pt idx="4">
                  <c:v>284291.99108473194</c:v>
                </c:pt>
                <c:pt idx="5">
                  <c:v>276727.73577269755</c:v>
                </c:pt>
                <c:pt idx="6">
                  <c:v>268898.73152474198</c:v>
                </c:pt>
                <c:pt idx="7">
                  <c:v>260795.71212810793</c:v>
                </c:pt>
                <c:pt idx="8">
                  <c:v>252409.0870525917</c:v>
                </c:pt>
                <c:pt idx="9">
                  <c:v>243728.93009943241</c:v>
                </c:pt>
                <c:pt idx="10">
                  <c:v>234744.96765291254</c:v>
                </c:pt>
                <c:pt idx="11">
                  <c:v>225446.56652076449</c:v>
                </c:pt>
                <c:pt idx="12">
                  <c:v>215822.72134899124</c:v>
                </c:pt>
                <c:pt idx="13">
                  <c:v>205862.04159620593</c:v>
                </c:pt>
                <c:pt idx="14">
                  <c:v>195552.73805207314</c:v>
                </c:pt>
                <c:pt idx="15">
                  <c:v>184882.60888389571</c:v>
                </c:pt>
                <c:pt idx="16">
                  <c:v>173839.02519483207</c:v>
                </c:pt>
                <c:pt idx="17">
                  <c:v>162408.91607665119</c:v>
                </c:pt>
                <c:pt idx="18">
                  <c:v>150578.75313933397</c:v>
                </c:pt>
                <c:pt idx="19">
                  <c:v>138334.53449921065</c:v>
                </c:pt>
                <c:pt idx="20">
                  <c:v>125661.76820668303</c:v>
                </c:pt>
                <c:pt idx="21">
                  <c:v>112545.45509391694</c:v>
                </c:pt>
                <c:pt idx="22">
                  <c:v>98970.071022204036</c:v>
                </c:pt>
                <c:pt idx="23">
                  <c:v>84919.548507981177</c:v>
                </c:pt>
                <c:pt idx="24">
                  <c:v>70377.257705760509</c:v>
                </c:pt>
                <c:pt idx="25">
                  <c:v>55325.98672546212</c:v>
                </c:pt>
                <c:pt idx="26">
                  <c:v>39747.921260853291</c:v>
                </c:pt>
                <c:pt idx="27">
                  <c:v>23624.623504983152</c:v>
                </c:pt>
                <c:pt idx="28">
                  <c:v>6937.010327657561</c:v>
                </c:pt>
                <c:pt idx="2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EB1-4992-854A-0F4DC56BCB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smooth val="0"/>
        <c:axId val="3619315"/>
        <c:axId val="43251188"/>
      </c:lineChart>
      <c:catAx>
        <c:axId val="3619315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uFillTx/>
                <a:latin typeface="Calibri"/>
              </a:defRPr>
            </a:pPr>
            <a:endParaRPr lang="de-DE"/>
          </a:p>
        </c:txPr>
        <c:crossAx val="43251188"/>
        <c:crosses val="autoZero"/>
        <c:auto val="1"/>
        <c:lblAlgn val="ctr"/>
        <c:lblOffset val="100"/>
        <c:noMultiLvlLbl val="0"/>
      </c:catAx>
      <c:valAx>
        <c:axId val="43251188"/>
        <c:scaling>
          <c:orientation val="minMax"/>
        </c:scaling>
        <c:delete val="0"/>
        <c:axPos val="l"/>
        <c:numFmt formatCode="#,##0" sourceLinked="0"/>
        <c:majorTickMark val="none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uFillTx/>
                <a:latin typeface="Calibri"/>
              </a:defRPr>
            </a:pPr>
            <a:endParaRPr lang="de-DE"/>
          </a:p>
        </c:txPr>
        <c:crossAx val="3619315"/>
        <c:crosses val="autoZero"/>
        <c:crossBetween val="between"/>
      </c:valAx>
      <c:spPr>
        <a:solidFill>
          <a:srgbClr val="FFFFFF"/>
        </a:solidFill>
        <a:ln w="0">
          <a:noFill/>
        </a:ln>
      </c:spPr>
    </c:plotArea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8740157499999996" l="0.7" r="0.7" t="0.78740157499999996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c:style val="2"/>
  <c:chart>
    <c:title>
      <c:tx>
        <c:rich>
          <a:bodyPr rot="0"/>
          <a:lstStyle/>
          <a:p>
            <a:pPr>
              <a:defRPr sz="1300" b="0" u="none" strike="noStrike">
                <a:uFillTx/>
                <a:latin typeface="Arial"/>
              </a:defRPr>
            </a:pPr>
            <a:r>
              <a:rPr sz="1800" b="1" u="none" strike="noStrike">
                <a:solidFill>
                  <a:srgbClr val="000000"/>
                </a:solidFill>
                <a:uFillTx/>
                <a:latin typeface="Calibri"/>
              </a:rPr>
              <a:t>Kumulierter Cashflow: nominal vs. real (30 Jahre)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'Realwert-Analyse'!$A$15</c:f>
              <c:strCache>
                <c:ptCount val="1"/>
                <c:pt idx="0">
                  <c:v>Kumulierter nominaler Netto-Cashflow</c:v>
                </c:pt>
              </c:strCache>
            </c:strRef>
          </c:tx>
          <c:spPr>
            <a:ln w="28080">
              <a:solidFill>
                <a:srgbClr val="1F4E78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Arial"/>
                  </a:defRPr>
                </a:pPr>
                <a:endParaRPr lang="de-DE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28080">
                      <a:solidFill>
                        <a:srgbClr val="000000"/>
                      </a:solidFill>
                    </a:ln>
                  </c:spPr>
                </c15:leaderLines>
              </c:ext>
            </c:extLst>
          </c:dLbls>
          <c:cat>
            <c:strRef>
              <c:f>'Realwert-Analyse'!$B$6:$AE$6</c:f>
              <c:strCache>
                <c:ptCount val="30"/>
                <c:pt idx="0">
                  <c:v>Jahr 1</c:v>
                </c:pt>
                <c:pt idx="1">
                  <c:v>Jahr 2</c:v>
                </c:pt>
                <c:pt idx="2">
                  <c:v>Jahr 3</c:v>
                </c:pt>
                <c:pt idx="3">
                  <c:v>Jahr 4</c:v>
                </c:pt>
                <c:pt idx="4">
                  <c:v>Jahr 5</c:v>
                </c:pt>
                <c:pt idx="5">
                  <c:v>Jahr 6</c:v>
                </c:pt>
                <c:pt idx="6">
                  <c:v>Jahr 7</c:v>
                </c:pt>
                <c:pt idx="7">
                  <c:v>Jahr 8</c:v>
                </c:pt>
                <c:pt idx="8">
                  <c:v>Jahr 9</c:v>
                </c:pt>
                <c:pt idx="9">
                  <c:v>Jahr 10</c:v>
                </c:pt>
                <c:pt idx="10">
                  <c:v>Jahr 11</c:v>
                </c:pt>
                <c:pt idx="11">
                  <c:v>Jahr 12</c:v>
                </c:pt>
                <c:pt idx="12">
                  <c:v>Jahr 13</c:v>
                </c:pt>
                <c:pt idx="13">
                  <c:v>Jahr 14</c:v>
                </c:pt>
                <c:pt idx="14">
                  <c:v>Jahr 15</c:v>
                </c:pt>
                <c:pt idx="15">
                  <c:v>Jahr 16</c:v>
                </c:pt>
                <c:pt idx="16">
                  <c:v>Jahr 17</c:v>
                </c:pt>
                <c:pt idx="17">
                  <c:v>Jahr 18</c:v>
                </c:pt>
                <c:pt idx="18">
                  <c:v>Jahr 19</c:v>
                </c:pt>
                <c:pt idx="19">
                  <c:v>Jahr 20</c:v>
                </c:pt>
                <c:pt idx="20">
                  <c:v>Jahr 21</c:v>
                </c:pt>
                <c:pt idx="21">
                  <c:v>Jahr 22</c:v>
                </c:pt>
                <c:pt idx="22">
                  <c:v>Jahr 23</c:v>
                </c:pt>
                <c:pt idx="23">
                  <c:v>Jahr 24</c:v>
                </c:pt>
                <c:pt idx="24">
                  <c:v>Jahr 25</c:v>
                </c:pt>
                <c:pt idx="25">
                  <c:v>Jahr 26</c:v>
                </c:pt>
                <c:pt idx="26">
                  <c:v>Jahr 27</c:v>
                </c:pt>
                <c:pt idx="27">
                  <c:v>Jahr 28</c:v>
                </c:pt>
                <c:pt idx="28">
                  <c:v>Jahr 29</c:v>
                </c:pt>
                <c:pt idx="29">
                  <c:v>Jahr 30</c:v>
                </c:pt>
              </c:strCache>
            </c:strRef>
          </c:cat>
          <c:val>
            <c:numRef>
              <c:f>'Realwert-Analyse'!$B$15:$AE$15</c:f>
              <c:numCache>
                <c:formatCode>#,##0" €"</c:formatCode>
                <c:ptCount val="30"/>
                <c:pt idx="0">
                  <c:v>-4948.1335000000017</c:v>
                </c:pt>
                <c:pt idx="1">
                  <c:v>-9705.4670000000042</c:v>
                </c:pt>
                <c:pt idx="2">
                  <c:v>-14268.184500000005</c:v>
                </c:pt>
                <c:pt idx="3">
                  <c:v>-18632.393680000005</c:v>
                </c:pt>
                <c:pt idx="4">
                  <c:v>-22794.124373600003</c:v>
                </c:pt>
                <c:pt idx="5">
                  <c:v>-26749.327011072004</c:v>
                </c:pt>
                <c:pt idx="6">
                  <c:v>-30493.871031293445</c:v>
                </c:pt>
                <c:pt idx="7">
                  <c:v>-34023.543261919316</c:v>
                </c:pt>
                <c:pt idx="8">
                  <c:v>-37334.046267157704</c:v>
                </c:pt>
                <c:pt idx="9">
                  <c:v>-40420.99666250086</c:v>
                </c:pt>
                <c:pt idx="10">
                  <c:v>-43279.923395750877</c:v>
                </c:pt>
                <c:pt idx="11">
                  <c:v>-45906.265993665897</c:v>
                </c:pt>
                <c:pt idx="12">
                  <c:v>-48295.372773539209</c:v>
                </c:pt>
                <c:pt idx="13">
                  <c:v>-50442.499019009992</c:v>
                </c:pt>
                <c:pt idx="14">
                  <c:v>-52342.805119390192</c:v>
                </c:pt>
                <c:pt idx="15">
                  <c:v>-53991.35467177799</c:v>
                </c:pt>
                <c:pt idx="16">
                  <c:v>-55383.112545213546</c:v>
                </c:pt>
                <c:pt idx="17">
                  <c:v>-56512.942906117809</c:v>
                </c:pt>
                <c:pt idx="18">
                  <c:v>-57375.607204240165</c:v>
                </c:pt>
                <c:pt idx="19">
                  <c:v>-57965.762118324965</c:v>
                </c:pt>
                <c:pt idx="20">
                  <c:v>-58277.957460691461</c:v>
                </c:pt>
                <c:pt idx="21">
                  <c:v>-58306.634039905286</c:v>
                </c:pt>
                <c:pt idx="22">
                  <c:v>-58046.12148070339</c:v>
                </c:pt>
                <c:pt idx="23">
                  <c:v>-57490.636000317456</c:v>
                </c:pt>
                <c:pt idx="24">
                  <c:v>-56634.278140323804</c:v>
                </c:pt>
                <c:pt idx="25">
                  <c:v>-55471.030453130275</c:v>
                </c:pt>
                <c:pt idx="26">
                  <c:v>-53994.755142192873</c:v>
                </c:pt>
                <c:pt idx="27">
                  <c:v>-52199.191655036724</c:v>
                </c:pt>
                <c:pt idx="28">
                  <c:v>-50077.954228137452</c:v>
                </c:pt>
                <c:pt idx="29">
                  <c:v>-47624.529382700195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30B-4DA8-BAF6-B2BA9A83235D}"/>
            </c:ext>
          </c:extLst>
        </c:ser>
        <c:ser>
          <c:idx val="1"/>
          <c:order val="1"/>
          <c:tx>
            <c:strRef>
              <c:f>'Realwert-Analyse'!$A$14</c:f>
              <c:strCache>
                <c:ptCount val="1"/>
                <c:pt idx="0">
                  <c:v>Kumulierter realer Netto-Cashflow</c:v>
                </c:pt>
              </c:strCache>
            </c:strRef>
          </c:tx>
          <c:spPr>
            <a:ln w="28080">
              <a:solidFill>
                <a:srgbClr val="9C9C9C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Arial"/>
                  </a:defRPr>
                </a:pPr>
                <a:endParaRPr lang="de-DE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28080">
                      <a:solidFill>
                        <a:srgbClr val="000000"/>
                      </a:solidFill>
                    </a:ln>
                  </c:spPr>
                </c15:leaderLines>
              </c:ext>
            </c:extLst>
          </c:dLbls>
          <c:cat>
            <c:strRef>
              <c:f>'Realwert-Analyse'!$B$6:$AE$6</c:f>
              <c:strCache>
                <c:ptCount val="30"/>
                <c:pt idx="0">
                  <c:v>Jahr 1</c:v>
                </c:pt>
                <c:pt idx="1">
                  <c:v>Jahr 2</c:v>
                </c:pt>
                <c:pt idx="2">
                  <c:v>Jahr 3</c:v>
                </c:pt>
                <c:pt idx="3">
                  <c:v>Jahr 4</c:v>
                </c:pt>
                <c:pt idx="4">
                  <c:v>Jahr 5</c:v>
                </c:pt>
                <c:pt idx="5">
                  <c:v>Jahr 6</c:v>
                </c:pt>
                <c:pt idx="6">
                  <c:v>Jahr 7</c:v>
                </c:pt>
                <c:pt idx="7">
                  <c:v>Jahr 8</c:v>
                </c:pt>
                <c:pt idx="8">
                  <c:v>Jahr 9</c:v>
                </c:pt>
                <c:pt idx="9">
                  <c:v>Jahr 10</c:v>
                </c:pt>
                <c:pt idx="10">
                  <c:v>Jahr 11</c:v>
                </c:pt>
                <c:pt idx="11">
                  <c:v>Jahr 12</c:v>
                </c:pt>
                <c:pt idx="12">
                  <c:v>Jahr 13</c:v>
                </c:pt>
                <c:pt idx="13">
                  <c:v>Jahr 14</c:v>
                </c:pt>
                <c:pt idx="14">
                  <c:v>Jahr 15</c:v>
                </c:pt>
                <c:pt idx="15">
                  <c:v>Jahr 16</c:v>
                </c:pt>
                <c:pt idx="16">
                  <c:v>Jahr 17</c:v>
                </c:pt>
                <c:pt idx="17">
                  <c:v>Jahr 18</c:v>
                </c:pt>
                <c:pt idx="18">
                  <c:v>Jahr 19</c:v>
                </c:pt>
                <c:pt idx="19">
                  <c:v>Jahr 20</c:v>
                </c:pt>
                <c:pt idx="20">
                  <c:v>Jahr 21</c:v>
                </c:pt>
                <c:pt idx="21">
                  <c:v>Jahr 22</c:v>
                </c:pt>
                <c:pt idx="22">
                  <c:v>Jahr 23</c:v>
                </c:pt>
                <c:pt idx="23">
                  <c:v>Jahr 24</c:v>
                </c:pt>
                <c:pt idx="24">
                  <c:v>Jahr 25</c:v>
                </c:pt>
                <c:pt idx="25">
                  <c:v>Jahr 26</c:v>
                </c:pt>
                <c:pt idx="26">
                  <c:v>Jahr 27</c:v>
                </c:pt>
                <c:pt idx="27">
                  <c:v>Jahr 28</c:v>
                </c:pt>
                <c:pt idx="28">
                  <c:v>Jahr 29</c:v>
                </c:pt>
                <c:pt idx="29">
                  <c:v>Jahr 30</c:v>
                </c:pt>
              </c:strCache>
            </c:strRef>
          </c:cat>
          <c:val>
            <c:numRef>
              <c:f>'Realwert-Analyse'!$B$14:$AE$14</c:f>
              <c:numCache>
                <c:formatCode>#,##0" €"</c:formatCode>
                <c:ptCount val="30"/>
                <c:pt idx="0">
                  <c:v>-4827.4473170731726</c:v>
                </c:pt>
                <c:pt idx="1">
                  <c:v>-9355.545829863182</c:v>
                </c:pt>
                <c:pt idx="2">
                  <c:v>-13592.48261255641</c:v>
                </c:pt>
                <c:pt idx="3">
                  <c:v>-17546.240733218419</c:v>
                </c:pt>
                <c:pt idx="4">
                  <c:v>-21224.60425063291</c:v>
                </c:pt>
                <c:pt idx="5">
                  <c:v>-24635.163089163736</c:v>
                </c:pt>
                <c:pt idx="6">
                  <c:v>-27785.317794615537</c:v>
                </c:pt>
                <c:pt idx="7">
                  <c:v>-30682.284173995915</c:v>
                </c:pt>
                <c:pt idx="8">
                  <c:v>-33333.097822011368</c:v>
                </c:pt>
                <c:pt idx="9">
                  <c:v>-35744.618537060043</c:v>
                </c:pt>
                <c:pt idx="10">
                  <c:v>-37923.534629416987</c:v>
                </c:pt>
                <c:pt idx="11">
                  <c:v>-39876.367124241879</c:v>
                </c:pt>
                <c:pt idx="12">
                  <c:v>-41609.473861974999</c:v>
                </c:pt>
                <c:pt idx="13">
                  <c:v>-43129.053498624649</c:v>
                </c:pt>
                <c:pt idx="14">
                  <c:v>-44441.149408388184</c:v>
                </c:pt>
                <c:pt idx="15">
                  <c:v>-45551.653490989258</c:v>
                </c:pt>
                <c:pt idx="16">
                  <c:v>-46466.309886055737</c:v>
                </c:pt>
                <c:pt idx="17">
                  <c:v>-47190.718596806058</c:v>
                </c:pt>
                <c:pt idx="18">
                  <c:v>-47730.339025256479</c:v>
                </c:pt>
                <c:pt idx="19">
                  <c:v>-48090.493421107785</c:v>
                </c:pt>
                <c:pt idx="20">
                  <c:v>-48276.370246417187</c:v>
                </c:pt>
                <c:pt idx="21">
                  <c:v>-48293.027458110024</c:v>
                </c:pt>
                <c:pt idx="22">
                  <c:v>-48145.395710335542</c:v>
                </c:pt>
                <c:pt idx="23">
                  <c:v>-47838.281478622259</c:v>
                </c:pt>
                <c:pt idx="24">
                  <c:v>-47376.37010774076</c:v>
                </c:pt>
                <c:pt idx="25">
                  <c:v>-46764.22878513507</c:v>
                </c:pt>
                <c:pt idx="26">
                  <c:v>-46006.309441738573</c:v>
                </c:pt>
                <c:pt idx="27">
                  <c:v>-45106.951581945934</c:v>
                </c:pt>
                <c:pt idx="28">
                  <c:v>-44070.385044469447</c:v>
                </c:pt>
                <c:pt idx="29">
                  <c:v>-42900.732695765982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30B-4DA8-BAF6-B2BA9A8323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smooth val="0"/>
        <c:axId val="75634689"/>
        <c:axId val="50146383"/>
      </c:lineChart>
      <c:catAx>
        <c:axId val="75634689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uFillTx/>
                <a:latin typeface="Calibri"/>
              </a:defRPr>
            </a:pPr>
            <a:endParaRPr lang="de-DE"/>
          </a:p>
        </c:txPr>
        <c:crossAx val="50146383"/>
        <c:crosses val="autoZero"/>
        <c:auto val="1"/>
        <c:lblAlgn val="ctr"/>
        <c:lblOffset val="100"/>
        <c:noMultiLvlLbl val="0"/>
      </c:catAx>
      <c:valAx>
        <c:axId val="50146383"/>
        <c:scaling>
          <c:orientation val="minMax"/>
        </c:scaling>
        <c:delete val="0"/>
        <c:axPos val="l"/>
        <c:numFmt formatCode="#,##0" sourceLinked="0"/>
        <c:majorTickMark val="none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uFillTx/>
                <a:latin typeface="Calibri"/>
              </a:defRPr>
            </a:pPr>
            <a:endParaRPr lang="de-DE"/>
          </a:p>
        </c:txPr>
        <c:crossAx val="75634689"/>
        <c:crosses val="autoZero"/>
        <c:crossBetween val="between"/>
      </c:valAx>
      <c:spPr>
        <a:solidFill>
          <a:srgbClr val="FFFFFF"/>
        </a:solidFill>
        <a:ln w="0">
          <a:noFill/>
        </a:ln>
      </c:spPr>
    </c:plotArea>
    <c:legend>
      <c:legendPos val="b"/>
      <c:overlay val="0"/>
      <c:spPr>
        <a:noFill/>
        <a:ln w="0">
          <a:noFill/>
        </a:ln>
      </c:spPr>
      <c:txPr>
        <a:bodyPr/>
        <a:lstStyle/>
        <a:p>
          <a:pPr>
            <a:defRPr sz="1000" b="0" u="none" strike="noStrike">
              <a:solidFill>
                <a:srgbClr val="000000"/>
              </a:solidFill>
              <a:uFillTx/>
              <a:latin typeface="Calibri"/>
            </a:defRPr>
          </a:pPr>
          <a:endParaRPr lang="de-DE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22</xdr:row>
      <xdr:rowOff>0</xdr:rowOff>
    </xdr:from>
    <xdr:to>
      <xdr:col>5</xdr:col>
      <xdr:colOff>135000</xdr:colOff>
      <xdr:row>37</xdr:row>
      <xdr:rowOff>21240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0</xdr:colOff>
      <xdr:row>22</xdr:row>
      <xdr:rowOff>0</xdr:rowOff>
    </xdr:from>
    <xdr:to>
      <xdr:col>20</xdr:col>
      <xdr:colOff>363600</xdr:colOff>
      <xdr:row>37</xdr:row>
      <xdr:rowOff>21240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0</xdr:col>
      <xdr:colOff>0</xdr:colOff>
      <xdr:row>40</xdr:row>
      <xdr:rowOff>0</xdr:rowOff>
    </xdr:from>
    <xdr:to>
      <xdr:col>5</xdr:col>
      <xdr:colOff>135000</xdr:colOff>
      <xdr:row>55</xdr:row>
      <xdr:rowOff>21240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26</xdr:row>
      <xdr:rowOff>0</xdr:rowOff>
    </xdr:from>
    <xdr:to>
      <xdr:col>6</xdr:col>
      <xdr:colOff>643320</xdr:colOff>
      <xdr:row>41</xdr:row>
      <xdr:rowOff>21240</xdr:rowOff>
    </xdr:to>
    <xdr:graphicFrame macro="">
      <xdr:nvGraphicFramePr>
        <xdr:cNvPr id="4" name="Chart 1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2A6099"/>
  </sheetPr>
  <dimension ref="A1:H59"/>
  <sheetViews>
    <sheetView showGridLines="0" zoomScale="80" zoomScaleNormal="80" workbookViewId="0">
      <pane ySplit="4" topLeftCell="A5" activePane="bottomLeft" state="frozen"/>
      <selection pane="bottomLeft" activeCell="D5" sqref="D5"/>
    </sheetView>
  </sheetViews>
  <sheetFormatPr baseColWidth="10" defaultColWidth="8.7109375" defaultRowHeight="15" x14ac:dyDescent="0.25"/>
  <cols>
    <col min="1" max="1" width="30" style="1" customWidth="1"/>
    <col min="2" max="8" width="15" style="1" customWidth="1"/>
  </cols>
  <sheetData>
    <row r="1" spans="1:8" ht="33.75" customHeight="1" x14ac:dyDescent="0.25">
      <c r="A1" s="72" t="s">
        <v>0</v>
      </c>
      <c r="B1" s="72"/>
      <c r="C1" s="72"/>
      <c r="D1" s="72"/>
      <c r="E1" s="72"/>
      <c r="F1" s="72"/>
      <c r="G1" s="72"/>
      <c r="H1" s="72"/>
    </row>
    <row r="2" spans="1:8" ht="15" customHeight="1" x14ac:dyDescent="0.25">
      <c r="A2" s="73" t="s">
        <v>1</v>
      </c>
      <c r="B2" s="73"/>
      <c r="C2" s="73"/>
      <c r="D2" s="73"/>
      <c r="E2" s="73"/>
      <c r="F2" s="73"/>
      <c r="G2" s="73"/>
      <c r="H2" s="73"/>
    </row>
    <row r="3" spans="1:8" ht="15" customHeight="1" x14ac:dyDescent="0.25"/>
    <row r="4" spans="1:8" ht="15" customHeight="1" x14ac:dyDescent="0.25">
      <c r="A4" s="71" t="s">
        <v>2</v>
      </c>
      <c r="B4" s="71"/>
      <c r="C4" s="71"/>
      <c r="D4" s="71"/>
      <c r="E4" s="71"/>
      <c r="F4" s="71"/>
      <c r="G4" s="71"/>
      <c r="H4" s="71"/>
    </row>
    <row r="5" spans="1:8" ht="25.5" customHeight="1" x14ac:dyDescent="0.25">
      <c r="A5" s="74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</row>
    <row r="6" spans="1:8" ht="24" customHeight="1" x14ac:dyDescent="0.25">
      <c r="A6" s="74"/>
      <c r="B6" s="3">
        <f>'Immobilien-Kalkulation'!B18</f>
        <v>3.4285714285714287E-2</v>
      </c>
      <c r="C6" s="3">
        <f>'Immobilien-Kalkulation'!B19</f>
        <v>2.3943078718518241E-2</v>
      </c>
      <c r="D6" s="3">
        <f>'Immobilien-Kalkulation'!B20</f>
        <v>-6.1851668750000019E-2</v>
      </c>
      <c r="E6" s="4">
        <f>'Immobilien-Kalkulation'!B22</f>
        <v>-412.34445833333348</v>
      </c>
      <c r="F6" s="4">
        <f>'Immobilien-Kalkulation'!B23</f>
        <v>1664.5395833333334</v>
      </c>
    </row>
    <row r="7" spans="1:8" ht="25.5" customHeight="1" x14ac:dyDescent="0.25">
      <c r="A7" s="74" t="s">
        <v>9</v>
      </c>
      <c r="B7" s="2" t="s">
        <v>10</v>
      </c>
      <c r="C7" s="2" t="s">
        <v>11</v>
      </c>
      <c r="D7" s="2" t="s">
        <v>12</v>
      </c>
      <c r="E7" s="2" t="s">
        <v>13</v>
      </c>
      <c r="F7" s="2" t="s">
        <v>14</v>
      </c>
    </row>
    <row r="8" spans="1:8" ht="24" customHeight="1" x14ac:dyDescent="0.25">
      <c r="A8" s="74"/>
      <c r="B8" s="5">
        <f>'Immobilien-Kalkulation'!B21</f>
        <v>29.166666666666668</v>
      </c>
      <c r="C8" s="6">
        <f>'Immobilien-Kalkulation'!B69</f>
        <v>0.90984285714285718</v>
      </c>
      <c r="D8" s="7">
        <f>'Immobilien-Kalkulation'!B49</f>
        <v>398445</v>
      </c>
      <c r="E8" s="7">
        <f>'Immobilien-Kalkulation'!B62</f>
        <v>318445</v>
      </c>
      <c r="F8" s="7">
        <f>'Exit-Analyse'!B18</f>
        <v>181899.18084585632</v>
      </c>
    </row>
    <row r="9" spans="1:8" ht="15" customHeight="1" x14ac:dyDescent="0.25"/>
    <row r="10" spans="1:8" ht="15" customHeight="1" x14ac:dyDescent="0.25">
      <c r="A10" s="71" t="s">
        <v>15</v>
      </c>
      <c r="B10" s="71"/>
      <c r="C10" s="71"/>
      <c r="D10" s="71"/>
    </row>
    <row r="11" spans="1:8" ht="15" customHeight="1" x14ac:dyDescent="0.25">
      <c r="A11" s="8" t="s">
        <v>16</v>
      </c>
      <c r="B11" s="9" t="s">
        <v>17</v>
      </c>
      <c r="C11" s="9" t="s">
        <v>18</v>
      </c>
      <c r="D11" s="9" t="s">
        <v>19</v>
      </c>
    </row>
    <row r="12" spans="1:8" ht="15" customHeight="1" x14ac:dyDescent="0.25">
      <c r="A12" s="10" t="s">
        <v>20</v>
      </c>
      <c r="B12" s="11">
        <f>Szenarien!B43</f>
        <v>-7985.7960249999978</v>
      </c>
      <c r="C12" s="11">
        <f>Szenarien!C43</f>
        <v>-4948.1335000000017</v>
      </c>
      <c r="D12" s="11">
        <f>Szenarien!D43</f>
        <v>-2925.6501499999977</v>
      </c>
    </row>
    <row r="13" spans="1:8" ht="15" customHeight="1" x14ac:dyDescent="0.25">
      <c r="A13" s="10" t="s">
        <v>21</v>
      </c>
      <c r="B13" s="11">
        <f>Szenarien!B49</f>
        <v>41687.493905698851</v>
      </c>
      <c r="C13" s="11">
        <f>Szenarien!C49</f>
        <v>74819.325369292346</v>
      </c>
      <c r="D13" s="11">
        <f>Szenarien!D49</f>
        <v>92450.720179466734</v>
      </c>
    </row>
    <row r="14" spans="1:8" ht="15" customHeight="1" x14ac:dyDescent="0.25">
      <c r="A14" s="10" t="s">
        <v>22</v>
      </c>
      <c r="B14" s="12">
        <f>Szenarien!B46</f>
        <v>-9.9822450312499977E-2</v>
      </c>
      <c r="C14" s="12">
        <f>Szenarien!C46</f>
        <v>-6.1851668750000019E-2</v>
      </c>
      <c r="D14" s="12">
        <f>Szenarien!D46</f>
        <v>-3.657062687499997E-2</v>
      </c>
    </row>
    <row r="15" spans="1:8" ht="15" customHeight="1" x14ac:dyDescent="0.25"/>
    <row r="16" spans="1:8" ht="15" customHeight="1" x14ac:dyDescent="0.25">
      <c r="A16" s="71" t="s">
        <v>23</v>
      </c>
      <c r="B16" s="71"/>
      <c r="C16" s="71"/>
      <c r="D16" s="71"/>
      <c r="E16" s="71"/>
      <c r="F16" s="71"/>
      <c r="G16" s="71"/>
      <c r="H16" s="71"/>
    </row>
    <row r="17" spans="1:8" ht="15" customHeight="1" x14ac:dyDescent="0.25">
      <c r="A17" s="8" t="s">
        <v>24</v>
      </c>
      <c r="B17" s="13">
        <f>Zinstest!B6</f>
        <v>5.0000000000000044E-3</v>
      </c>
      <c r="C17" s="13">
        <f>Zinstest!C6</f>
        <v>1.5000000000000003E-2</v>
      </c>
      <c r="D17" s="13">
        <f>Zinstest!D6</f>
        <v>2.5000000000000001E-2</v>
      </c>
      <c r="E17" s="13">
        <f>Zinstest!E6</f>
        <v>3.5000000000000003E-2</v>
      </c>
      <c r="F17" s="13">
        <f>Zinstest!F6</f>
        <v>4.5000000000000005E-2</v>
      </c>
      <c r="G17" s="13">
        <f>Zinstest!G6</f>
        <v>5.5000000000000007E-2</v>
      </c>
      <c r="H17" s="13">
        <f>Zinstest!H6</f>
        <v>6.5000000000000002E-2</v>
      </c>
    </row>
    <row r="18" spans="1:8" ht="15" customHeight="1" x14ac:dyDescent="0.25">
      <c r="A18" s="14" t="s">
        <v>25</v>
      </c>
      <c r="B18" s="15">
        <f>Zinstest!B9</f>
        <v>592.80949999999871</v>
      </c>
      <c r="C18" s="15">
        <f>Zinstest!C9</f>
        <v>-1254.1715000000004</v>
      </c>
      <c r="D18" s="15">
        <f>Zinstest!D9</f>
        <v>-3101.1525000000015</v>
      </c>
      <c r="E18" s="15">
        <f>Zinstest!E9</f>
        <v>-4948.1335000000017</v>
      </c>
      <c r="F18" s="15">
        <f>Zinstest!F9</f>
        <v>-6795.1144999999988</v>
      </c>
      <c r="G18" s="15">
        <f>Zinstest!G9</f>
        <v>-8642.0955000000031</v>
      </c>
      <c r="H18" s="15">
        <f>Zinstest!H9</f>
        <v>-10489.076500000001</v>
      </c>
    </row>
    <row r="19" spans="1:8" ht="15" customHeight="1" x14ac:dyDescent="0.25">
      <c r="A19" s="14" t="s">
        <v>26</v>
      </c>
      <c r="B19" s="16">
        <f>Zinstest!B7</f>
        <v>663.42708333333348</v>
      </c>
      <c r="C19" s="16">
        <f>Zinstest!C7</f>
        <v>928.79791666666677</v>
      </c>
      <c r="D19" s="16">
        <f>Zinstest!D7</f>
        <v>1194.16875</v>
      </c>
      <c r="E19" s="16">
        <f>Zinstest!E7</f>
        <v>1459.5395833333334</v>
      </c>
      <c r="F19" s="16">
        <f>Zinstest!F7</f>
        <v>1724.9104166666666</v>
      </c>
      <c r="G19" s="16">
        <f>Zinstest!G7</f>
        <v>1990.2812500000002</v>
      </c>
      <c r="H19" s="16">
        <f>Zinstest!H7</f>
        <v>2255.6520833333334</v>
      </c>
    </row>
    <row r="20" spans="1:8" ht="15" customHeight="1" x14ac:dyDescent="0.25">
      <c r="A20" s="14" t="s">
        <v>8</v>
      </c>
      <c r="B20" s="16">
        <f>Zinstest!B11</f>
        <v>868.42708333333348</v>
      </c>
      <c r="C20" s="16">
        <f>Zinstest!C11</f>
        <v>1133.7979166666667</v>
      </c>
      <c r="D20" s="16">
        <f>Zinstest!D11</f>
        <v>1399.16875</v>
      </c>
      <c r="E20" s="16">
        <f>Zinstest!E11</f>
        <v>1664.5395833333334</v>
      </c>
      <c r="F20" s="16">
        <f>Zinstest!F11</f>
        <v>1929.9104166666666</v>
      </c>
      <c r="G20" s="16">
        <f>Zinstest!G11</f>
        <v>2195.2812500000005</v>
      </c>
      <c r="H20" s="16">
        <f>Zinstest!H11</f>
        <v>2460.6520833333334</v>
      </c>
    </row>
    <row r="21" spans="1:8" ht="15" customHeight="1" x14ac:dyDescent="0.25"/>
    <row r="22" spans="1:8" ht="15" customHeight="1" x14ac:dyDescent="0.25"/>
    <row r="23" spans="1:8" ht="15" customHeight="1" x14ac:dyDescent="0.25"/>
    <row r="24" spans="1:8" ht="15" customHeight="1" x14ac:dyDescent="0.25"/>
    <row r="25" spans="1:8" ht="15" customHeight="1" x14ac:dyDescent="0.25"/>
    <row r="26" spans="1:8" ht="15" customHeight="1" x14ac:dyDescent="0.25"/>
    <row r="27" spans="1:8" ht="15" customHeight="1" x14ac:dyDescent="0.25"/>
    <row r="28" spans="1:8" ht="15" customHeight="1" x14ac:dyDescent="0.25"/>
    <row r="29" spans="1:8" ht="15" customHeight="1" x14ac:dyDescent="0.25"/>
    <row r="30" spans="1:8" ht="15" customHeight="1" x14ac:dyDescent="0.25"/>
    <row r="31" spans="1:8" ht="15" customHeight="1" x14ac:dyDescent="0.25"/>
    <row r="32" spans="1:8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38" ht="15" customHeight="1" x14ac:dyDescent="0.25"/>
    <row r="39" ht="15" customHeight="1" x14ac:dyDescent="0.25"/>
    <row r="40" ht="15" customHeight="1" x14ac:dyDescent="0.25"/>
    <row r="41" ht="15" customHeight="1" x14ac:dyDescent="0.25"/>
    <row r="42" ht="15" customHeight="1" x14ac:dyDescent="0.25"/>
    <row r="43" ht="15" customHeight="1" x14ac:dyDescent="0.25"/>
    <row r="44" ht="15" customHeight="1" x14ac:dyDescent="0.25"/>
    <row r="45" ht="15" customHeight="1" x14ac:dyDescent="0.25"/>
    <row r="46" ht="15" customHeight="1" x14ac:dyDescent="0.25"/>
    <row r="47" ht="15" customHeight="1" x14ac:dyDescent="0.25"/>
    <row r="48" ht="15" customHeight="1" x14ac:dyDescent="0.25"/>
    <row r="49" ht="15" customHeight="1" x14ac:dyDescent="0.25"/>
    <row r="50" ht="15" customHeight="1" x14ac:dyDescent="0.25"/>
    <row r="51" ht="15" customHeight="1" x14ac:dyDescent="0.25"/>
    <row r="52" ht="15" customHeight="1" x14ac:dyDescent="0.25"/>
    <row r="53" ht="15" customHeight="1" x14ac:dyDescent="0.25"/>
    <row r="54" ht="15" customHeight="1" x14ac:dyDescent="0.25"/>
    <row r="55" ht="15" customHeight="1" x14ac:dyDescent="0.25"/>
    <row r="56" ht="15" customHeight="1" x14ac:dyDescent="0.25"/>
    <row r="57" ht="15" customHeight="1" x14ac:dyDescent="0.25"/>
    <row r="58" ht="15" customHeight="1" x14ac:dyDescent="0.25"/>
    <row r="59" ht="15" customHeight="1" x14ac:dyDescent="0.25"/>
  </sheetData>
  <mergeCells count="7">
    <mergeCell ref="A10:D10"/>
    <mergeCell ref="A16:H16"/>
    <mergeCell ref="A1:H1"/>
    <mergeCell ref="A2:H2"/>
    <mergeCell ref="A4:H4"/>
    <mergeCell ref="A5:A6"/>
    <mergeCell ref="A7:A8"/>
  </mergeCells>
  <pageMargins left="0.75" right="0.75" top="1" bottom="1" header="0.511811023622047" footer="0.511811023622047"/>
  <pageSetup paperSize="9" orientation="portrait" horizontalDpi="300" verticalDpi="30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B4C7DC"/>
  </sheetPr>
  <dimension ref="A1:AE128"/>
  <sheetViews>
    <sheetView showGridLines="0" tabSelected="1" zoomScale="80" zoomScaleNormal="80" workbookViewId="0">
      <pane ySplit="3" topLeftCell="A4" activePane="bottomLeft" state="frozen"/>
      <selection pane="bottomLeft" activeCell="I32" sqref="I32"/>
    </sheetView>
  </sheetViews>
  <sheetFormatPr baseColWidth="10" defaultColWidth="8.7109375" defaultRowHeight="15" x14ac:dyDescent="0.25"/>
  <cols>
    <col min="1" max="1" width="46" style="1" customWidth="1"/>
    <col min="2" max="2" width="14" style="1" customWidth="1"/>
    <col min="3" max="6" width="16.42578125" style="1" customWidth="1"/>
    <col min="7" max="31" width="14" style="1" customWidth="1"/>
  </cols>
  <sheetData>
    <row r="1" spans="1:31" ht="39.75" customHeight="1" x14ac:dyDescent="0.25">
      <c r="A1" s="72" t="s">
        <v>27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  <c r="AC1" s="72"/>
      <c r="AD1" s="72"/>
      <c r="AE1" s="72"/>
    </row>
    <row r="2" spans="1:31" ht="15" customHeight="1" x14ac:dyDescent="0.25">
      <c r="A2" s="17" t="s">
        <v>28</v>
      </c>
      <c r="B2" s="18"/>
      <c r="C2" s="17"/>
      <c r="D2" s="17"/>
      <c r="E2" s="17"/>
      <c r="F2" s="17"/>
      <c r="G2" s="17"/>
      <c r="H2" s="17"/>
    </row>
    <row r="3" spans="1:31" ht="15" customHeight="1" x14ac:dyDescent="0.25"/>
    <row r="4" spans="1:31" ht="15" customHeight="1" x14ac:dyDescent="0.25">
      <c r="A4" s="71" t="s">
        <v>29</v>
      </c>
      <c r="B4" s="71"/>
      <c r="C4" s="71"/>
      <c r="D4" s="71"/>
      <c r="E4" s="71"/>
      <c r="F4" s="71"/>
    </row>
    <row r="5" spans="1:31" ht="25.5" customHeight="1" x14ac:dyDescent="0.25">
      <c r="A5" s="74" t="s">
        <v>3</v>
      </c>
      <c r="B5" s="2" t="s">
        <v>4</v>
      </c>
      <c r="C5" s="2" t="s">
        <v>5</v>
      </c>
      <c r="D5" s="2" t="s">
        <v>30</v>
      </c>
      <c r="E5" s="2" t="s">
        <v>7</v>
      </c>
      <c r="F5" s="2" t="s">
        <v>8</v>
      </c>
    </row>
    <row r="6" spans="1:31" ht="21.75" customHeight="1" x14ac:dyDescent="0.25">
      <c r="A6" s="74"/>
      <c r="B6" s="19">
        <f>B18</f>
        <v>3.4285714285714287E-2</v>
      </c>
      <c r="C6" s="19">
        <f>B19</f>
        <v>2.3943078718518241E-2</v>
      </c>
      <c r="D6" s="19">
        <f>B20</f>
        <v>-6.1851668750000019E-2</v>
      </c>
      <c r="E6" s="20">
        <f>B22</f>
        <v>-412.34445833333348</v>
      </c>
      <c r="F6" s="20">
        <f>B23</f>
        <v>1664.5395833333334</v>
      </c>
    </row>
    <row r="7" spans="1:31" ht="25.5" customHeight="1" x14ac:dyDescent="0.25">
      <c r="A7" s="74" t="s">
        <v>9</v>
      </c>
      <c r="B7" s="2" t="s">
        <v>10</v>
      </c>
      <c r="C7" s="2" t="s">
        <v>11</v>
      </c>
      <c r="D7" s="2" t="s">
        <v>31</v>
      </c>
      <c r="E7" s="2" t="s">
        <v>13</v>
      </c>
      <c r="F7" s="2" t="s">
        <v>14</v>
      </c>
    </row>
    <row r="8" spans="1:31" ht="21.75" customHeight="1" x14ac:dyDescent="0.25">
      <c r="A8" s="74"/>
      <c r="B8" s="21">
        <f>B21</f>
        <v>29.166666666666668</v>
      </c>
      <c r="C8" s="22">
        <f>B69</f>
        <v>0.90984285714285718</v>
      </c>
      <c r="D8" s="23">
        <f>B49</f>
        <v>398445</v>
      </c>
      <c r="E8" s="23">
        <f>B62</f>
        <v>318445</v>
      </c>
      <c r="F8" s="24">
        <f>'Exit-Analyse'!B18</f>
        <v>181899.18084585632</v>
      </c>
    </row>
    <row r="9" spans="1:31" ht="15" customHeight="1" x14ac:dyDescent="0.25"/>
    <row r="10" spans="1:31" ht="15" customHeight="1" x14ac:dyDescent="0.25">
      <c r="A10" s="75" t="s">
        <v>32</v>
      </c>
      <c r="B10" s="75"/>
    </row>
    <row r="11" spans="1:31" ht="15" customHeight="1" x14ac:dyDescent="0.25">
      <c r="A11" s="25" t="s">
        <v>33</v>
      </c>
      <c r="B11" s="26">
        <v>10</v>
      </c>
    </row>
    <row r="12" spans="1:31" ht="15" customHeight="1" x14ac:dyDescent="0.25">
      <c r="A12" s="25" t="s">
        <v>34</v>
      </c>
      <c r="B12" s="27">
        <v>2.5000000000000001E-2</v>
      </c>
    </row>
    <row r="13" spans="1:31" ht="15" customHeight="1" x14ac:dyDescent="0.25">
      <c r="A13" s="25" t="s">
        <v>35</v>
      </c>
      <c r="B13" s="28">
        <f>B26*(1+B12)^B11</f>
        <v>448029.59046872496</v>
      </c>
    </row>
    <row r="14" spans="1:31" ht="15" customHeight="1" x14ac:dyDescent="0.25">
      <c r="A14" s="25" t="s">
        <v>36</v>
      </c>
      <c r="B14" s="28">
        <f>HLOOKUP("Jahr "&amp;B11,$B$99:$AE$108,10,FALSE())</f>
        <v>243728.93009943241</v>
      </c>
    </row>
    <row r="15" spans="1:31" ht="15" customHeight="1" x14ac:dyDescent="0.25">
      <c r="A15" s="25" t="s">
        <v>37</v>
      </c>
      <c r="B15" s="28">
        <f>B13-B14-B61+SUM(B107:INDEX(B107:AE107,1,B11))</f>
        <v>83879.663706791674</v>
      </c>
    </row>
    <row r="16" spans="1:31" ht="15" customHeight="1" x14ac:dyDescent="0.25"/>
    <row r="17" spans="1:2" ht="15" customHeight="1" x14ac:dyDescent="0.25">
      <c r="A17" s="75" t="s">
        <v>38</v>
      </c>
      <c r="B17" s="75"/>
    </row>
    <row r="18" spans="1:2" ht="15" customHeight="1" x14ac:dyDescent="0.25">
      <c r="A18" s="25" t="s">
        <v>4</v>
      </c>
      <c r="B18" s="29">
        <f>(B73*12)/B26</f>
        <v>3.4285714285714287E-2</v>
      </c>
    </row>
    <row r="19" spans="1:2" ht="15" customHeight="1" x14ac:dyDescent="0.25">
      <c r="A19" s="25" t="s">
        <v>5</v>
      </c>
      <c r="B19" s="29">
        <f>(B73*12-B88)/B49</f>
        <v>2.3943078718518241E-2</v>
      </c>
    </row>
    <row r="20" spans="1:2" ht="15" customHeight="1" x14ac:dyDescent="0.25">
      <c r="A20" s="25" t="s">
        <v>39</v>
      </c>
      <c r="B20" s="29">
        <f>B107/B61</f>
        <v>-6.1851668750000019E-2</v>
      </c>
    </row>
    <row r="21" spans="1:2" ht="15" customHeight="1" x14ac:dyDescent="0.25">
      <c r="A21" s="25" t="s">
        <v>40</v>
      </c>
      <c r="B21" s="30">
        <f>B26/(B73*12)</f>
        <v>29.166666666666668</v>
      </c>
    </row>
    <row r="22" spans="1:2" ht="15" customHeight="1" x14ac:dyDescent="0.25">
      <c r="A22" s="31" t="s">
        <v>41</v>
      </c>
      <c r="B22" s="32">
        <f>B107/12</f>
        <v>-412.34445833333348</v>
      </c>
    </row>
    <row r="23" spans="1:2" ht="15" customHeight="1" x14ac:dyDescent="0.25">
      <c r="A23" s="25" t="s">
        <v>42</v>
      </c>
      <c r="B23" s="33">
        <f>(B88+B66)/12</f>
        <v>1664.5395833333334</v>
      </c>
    </row>
    <row r="24" spans="1:2" ht="15" customHeight="1" x14ac:dyDescent="0.25"/>
    <row r="25" spans="1:2" ht="15" customHeight="1" x14ac:dyDescent="0.25">
      <c r="A25" s="75" t="s">
        <v>43</v>
      </c>
      <c r="B25" s="75"/>
    </row>
    <row r="26" spans="1:2" ht="15" customHeight="1" x14ac:dyDescent="0.25">
      <c r="A26" s="25" t="s">
        <v>44</v>
      </c>
      <c r="B26" s="34">
        <v>350000</v>
      </c>
    </row>
    <row r="27" spans="1:2" ht="15" customHeight="1" x14ac:dyDescent="0.25">
      <c r="A27" s="25" t="s">
        <v>45</v>
      </c>
      <c r="B27" s="26">
        <v>80</v>
      </c>
    </row>
    <row r="28" spans="1:2" ht="15" customHeight="1" x14ac:dyDescent="0.25">
      <c r="A28" s="25" t="s">
        <v>46</v>
      </c>
      <c r="B28" s="33">
        <f>IF(B27&gt;0,B26/B27,0)</f>
        <v>4375</v>
      </c>
    </row>
    <row r="29" spans="1:2" ht="15" customHeight="1" x14ac:dyDescent="0.25">
      <c r="A29" s="25" t="s">
        <v>47</v>
      </c>
      <c r="B29" s="26">
        <v>200</v>
      </c>
    </row>
    <row r="30" spans="1:2" ht="15" customHeight="1" x14ac:dyDescent="0.25">
      <c r="A30" s="25" t="s">
        <v>48</v>
      </c>
      <c r="B30" s="35">
        <v>2005</v>
      </c>
    </row>
    <row r="31" spans="1:2" ht="15" customHeight="1" x14ac:dyDescent="0.25">
      <c r="A31" s="25" t="s">
        <v>49</v>
      </c>
      <c r="B31" s="36" t="s">
        <v>50</v>
      </c>
    </row>
    <row r="32" spans="1:2" ht="15" customHeight="1" x14ac:dyDescent="0.25">
      <c r="A32" s="25" t="s">
        <v>51</v>
      </c>
      <c r="B32" s="36" t="s">
        <v>52</v>
      </c>
    </row>
    <row r="33" spans="1:2" ht="15" customHeight="1" x14ac:dyDescent="0.25">
      <c r="A33" s="25" t="s">
        <v>53</v>
      </c>
      <c r="B33" s="36" t="s">
        <v>54</v>
      </c>
    </row>
    <row r="34" spans="1:2" ht="15" customHeight="1" x14ac:dyDescent="0.25"/>
    <row r="35" spans="1:2" ht="15" customHeight="1" x14ac:dyDescent="0.25">
      <c r="A35" s="75" t="s">
        <v>55</v>
      </c>
      <c r="B35" s="75"/>
    </row>
    <row r="36" spans="1:2" ht="15" customHeight="1" x14ac:dyDescent="0.25">
      <c r="A36" s="25" t="s">
        <v>56</v>
      </c>
      <c r="B36" s="27">
        <v>3.5000000000000003E-2</v>
      </c>
    </row>
    <row r="37" spans="1:2" ht="15" customHeight="1" x14ac:dyDescent="0.25">
      <c r="A37" s="25" t="s">
        <v>57</v>
      </c>
      <c r="B37" s="28">
        <f>B26*B36</f>
        <v>12250.000000000002</v>
      </c>
    </row>
    <row r="38" spans="1:2" ht="15" customHeight="1" x14ac:dyDescent="0.25">
      <c r="A38" s="25" t="s">
        <v>58</v>
      </c>
      <c r="B38" s="27">
        <v>1.4999999999999999E-2</v>
      </c>
    </row>
    <row r="39" spans="1:2" ht="15" customHeight="1" x14ac:dyDescent="0.25">
      <c r="A39" s="25" t="s">
        <v>59</v>
      </c>
      <c r="B39" s="28">
        <f>B26*B38</f>
        <v>5250</v>
      </c>
    </row>
    <row r="40" spans="1:2" ht="15" customHeight="1" x14ac:dyDescent="0.25">
      <c r="A40" s="25" t="s">
        <v>60</v>
      </c>
      <c r="B40" s="27">
        <v>5.0000000000000001E-3</v>
      </c>
    </row>
    <row r="41" spans="1:2" ht="15" customHeight="1" x14ac:dyDescent="0.25">
      <c r="A41" s="25" t="s">
        <v>61</v>
      </c>
      <c r="B41" s="28">
        <f>B26*B40</f>
        <v>1750</v>
      </c>
    </row>
    <row r="42" spans="1:2" ht="15" customHeight="1" x14ac:dyDescent="0.25">
      <c r="A42" s="25" t="s">
        <v>62</v>
      </c>
      <c r="B42" s="37">
        <v>3.5700000000000003E-2</v>
      </c>
    </row>
    <row r="43" spans="1:2" ht="15" customHeight="1" x14ac:dyDescent="0.25">
      <c r="A43" s="25" t="s">
        <v>63</v>
      </c>
      <c r="B43" s="28">
        <f>B26*B42</f>
        <v>12495</v>
      </c>
    </row>
    <row r="44" spans="1:2" ht="15" customHeight="1" x14ac:dyDescent="0.25">
      <c r="A44" s="25" t="s">
        <v>64</v>
      </c>
      <c r="B44" s="38">
        <v>1200</v>
      </c>
    </row>
    <row r="45" spans="1:2" ht="15" customHeight="1" x14ac:dyDescent="0.25">
      <c r="A45" s="25" t="s">
        <v>65</v>
      </c>
      <c r="B45" s="38">
        <v>15000</v>
      </c>
    </row>
    <row r="46" spans="1:2" ht="15" customHeight="1" x14ac:dyDescent="0.25">
      <c r="A46" s="25" t="s">
        <v>66</v>
      </c>
      <c r="B46" s="38">
        <v>500</v>
      </c>
    </row>
    <row r="47" spans="1:2" ht="15" customHeight="1" x14ac:dyDescent="0.25">
      <c r="A47" s="25" t="s">
        <v>67</v>
      </c>
      <c r="B47" s="39">
        <f>SUM(B37,B39,B41,B43,B44,B45,B46)</f>
        <v>48445</v>
      </c>
    </row>
    <row r="48" spans="1:2" ht="15" customHeight="1" x14ac:dyDescent="0.25">
      <c r="A48" s="25" t="s">
        <v>68</v>
      </c>
      <c r="B48" s="40">
        <f>IF(B26&gt;0,B47/B26,0)</f>
        <v>0.13841428571428571</v>
      </c>
    </row>
    <row r="49" spans="1:6" ht="15" customHeight="1" x14ac:dyDescent="0.25">
      <c r="A49" s="25" t="s">
        <v>69</v>
      </c>
      <c r="B49" s="39">
        <f>B26+B47</f>
        <v>398445</v>
      </c>
    </row>
    <row r="50" spans="1:6" ht="15" customHeight="1" x14ac:dyDescent="0.25">
      <c r="A50" s="71" t="s">
        <v>70</v>
      </c>
      <c r="B50" s="71"/>
    </row>
    <row r="51" spans="1:6" ht="15" customHeight="1" x14ac:dyDescent="0.25">
      <c r="A51" s="14" t="s">
        <v>71</v>
      </c>
      <c r="B51" s="41">
        <f>B45</f>
        <v>15000</v>
      </c>
    </row>
    <row r="52" spans="1:6" ht="15" customHeight="1" x14ac:dyDescent="0.25">
      <c r="A52" s="14" t="s">
        <v>72</v>
      </c>
      <c r="B52" s="41">
        <f>B92</f>
        <v>280000</v>
      </c>
    </row>
    <row r="53" spans="1:6" ht="15" customHeight="1" x14ac:dyDescent="0.25">
      <c r="A53" s="14" t="s">
        <v>73</v>
      </c>
      <c r="B53" s="42">
        <f>IFERROR(B45/B92,"—")</f>
        <v>5.3571428571428568E-2</v>
      </c>
    </row>
    <row r="54" spans="1:6" ht="15" customHeight="1" x14ac:dyDescent="0.25">
      <c r="A54" s="14" t="s">
        <v>74</v>
      </c>
      <c r="B54" s="41">
        <f>0.15*B92</f>
        <v>42000</v>
      </c>
    </row>
    <row r="55" spans="1:6" ht="27.75" customHeight="1" x14ac:dyDescent="0.25">
      <c r="A55" s="77" t="str">
        <f>IF(IFERROR(B45/B92,0)&lt;=0.15,"✓ Sofortabzug als Werbungskosten möglich","⚠ Aktivierungspflicht — anschaffungsnahe Herstellungskosten (§6 Abs. 1 Nr. 1a EStG)")</f>
        <v>✓ Sofortabzug als Werbungskosten möglich</v>
      </c>
      <c r="B55" s="77"/>
      <c r="C55" s="76"/>
      <c r="D55" s="76"/>
      <c r="E55" s="76"/>
      <c r="F55" s="76"/>
    </row>
    <row r="56" spans="1:6" ht="15" customHeight="1" x14ac:dyDescent="0.25">
      <c r="A56" s="14" t="s">
        <v>75</v>
      </c>
      <c r="B56" s="41">
        <f>MIN(B45,0.15*B92)</f>
        <v>15000</v>
      </c>
    </row>
    <row r="57" spans="1:6" ht="15" customHeight="1" x14ac:dyDescent="0.25">
      <c r="A57" s="14" t="s">
        <v>76</v>
      </c>
      <c r="B57" s="41">
        <f>MAX(0,B45-0.15*B92)</f>
        <v>0</v>
      </c>
    </row>
    <row r="58" spans="1:6" ht="15" customHeight="1" x14ac:dyDescent="0.25"/>
    <row r="59" spans="1:6" ht="15" customHeight="1" x14ac:dyDescent="0.25">
      <c r="A59" s="75" t="s">
        <v>77</v>
      </c>
      <c r="B59" s="75"/>
    </row>
    <row r="60" spans="1:6" ht="15" customHeight="1" x14ac:dyDescent="0.25">
      <c r="A60" s="25" t="s">
        <v>78</v>
      </c>
      <c r="B60" s="43">
        <f>B61/B49</f>
        <v>0.20078053432719697</v>
      </c>
    </row>
    <row r="61" spans="1:6" ht="15" customHeight="1" x14ac:dyDescent="0.25">
      <c r="A61" s="25" t="s">
        <v>79</v>
      </c>
      <c r="B61" s="44">
        <v>80000</v>
      </c>
    </row>
    <row r="62" spans="1:6" ht="15" customHeight="1" x14ac:dyDescent="0.25">
      <c r="A62" s="25" t="s">
        <v>13</v>
      </c>
      <c r="B62" s="28">
        <f>B49-B61</f>
        <v>318445</v>
      </c>
    </row>
    <row r="63" spans="1:6" ht="15" customHeight="1" x14ac:dyDescent="0.25">
      <c r="A63" s="25" t="s">
        <v>80</v>
      </c>
      <c r="B63" s="37">
        <v>3.5000000000000003E-2</v>
      </c>
    </row>
    <row r="64" spans="1:6" ht="15" customHeight="1" x14ac:dyDescent="0.25">
      <c r="A64" s="25" t="s">
        <v>81</v>
      </c>
      <c r="B64" s="27">
        <v>0.02</v>
      </c>
    </row>
    <row r="65" spans="1:2" ht="15" customHeight="1" x14ac:dyDescent="0.25">
      <c r="A65" s="25" t="s">
        <v>82</v>
      </c>
      <c r="B65" s="33">
        <f>B62*(B63+B64)/12</f>
        <v>1459.5395833333334</v>
      </c>
    </row>
    <row r="66" spans="1:2" ht="15" customHeight="1" x14ac:dyDescent="0.25">
      <c r="A66" s="25" t="s">
        <v>83</v>
      </c>
      <c r="B66" s="28">
        <f>B65*12</f>
        <v>17514.475000000002</v>
      </c>
    </row>
    <row r="67" spans="1:2" ht="15" customHeight="1" x14ac:dyDescent="0.25">
      <c r="A67" s="25" t="s">
        <v>84</v>
      </c>
      <c r="B67" s="26">
        <v>10</v>
      </c>
    </row>
    <row r="68" spans="1:2" ht="15" customHeight="1" x14ac:dyDescent="0.25">
      <c r="A68" s="25" t="s">
        <v>85</v>
      </c>
      <c r="B68" s="26">
        <v>30</v>
      </c>
    </row>
    <row r="69" spans="1:2" ht="15" customHeight="1" x14ac:dyDescent="0.25">
      <c r="A69" s="25" t="s">
        <v>86</v>
      </c>
      <c r="B69" s="43">
        <f>IF(B26&gt;0,B62/B26,0)</f>
        <v>0.90984285714285718</v>
      </c>
    </row>
    <row r="70" spans="1:2" ht="15" customHeight="1" x14ac:dyDescent="0.25"/>
    <row r="71" spans="1:2" ht="15" customHeight="1" x14ac:dyDescent="0.25">
      <c r="A71" s="75" t="s">
        <v>87</v>
      </c>
      <c r="B71" s="75"/>
    </row>
    <row r="72" spans="1:2" ht="15" customHeight="1" x14ac:dyDescent="0.25">
      <c r="A72" s="25" t="s">
        <v>88</v>
      </c>
      <c r="B72" s="45">
        <v>12.5</v>
      </c>
    </row>
    <row r="73" spans="1:2" ht="15" customHeight="1" x14ac:dyDescent="0.25">
      <c r="A73" s="25" t="s">
        <v>89</v>
      </c>
      <c r="B73" s="46">
        <f>B27*B72</f>
        <v>1000</v>
      </c>
    </row>
    <row r="74" spans="1:2" ht="15" customHeight="1" x14ac:dyDescent="0.25">
      <c r="A74" s="25" t="s">
        <v>90</v>
      </c>
      <c r="B74" s="38">
        <v>1200</v>
      </c>
    </row>
    <row r="75" spans="1:2" ht="15" customHeight="1" x14ac:dyDescent="0.25">
      <c r="A75" s="25" t="s">
        <v>91</v>
      </c>
      <c r="B75" s="27">
        <v>0.02</v>
      </c>
    </row>
    <row r="76" spans="1:2" ht="15" customHeight="1" x14ac:dyDescent="0.25">
      <c r="A76" s="25" t="s">
        <v>92</v>
      </c>
      <c r="B76" s="28">
        <f>B73*12*B75</f>
        <v>240</v>
      </c>
    </row>
    <row r="77" spans="1:2" ht="15" customHeight="1" x14ac:dyDescent="0.25">
      <c r="A77" s="25" t="s">
        <v>93</v>
      </c>
      <c r="B77" s="28">
        <f>(B73*12)-B76</f>
        <v>11760</v>
      </c>
    </row>
    <row r="78" spans="1:2" ht="15" customHeight="1" x14ac:dyDescent="0.25">
      <c r="A78" s="25" t="s">
        <v>94</v>
      </c>
      <c r="B78" s="27">
        <v>0.02</v>
      </c>
    </row>
    <row r="79" spans="1:2" ht="15" customHeight="1" x14ac:dyDescent="0.25"/>
    <row r="80" spans="1:2" ht="15" customHeight="1" x14ac:dyDescent="0.25">
      <c r="A80" s="75" t="s">
        <v>95</v>
      </c>
      <c r="B80" s="75"/>
    </row>
    <row r="81" spans="1:2" ht="15" customHeight="1" x14ac:dyDescent="0.25">
      <c r="A81" s="25" t="s">
        <v>96</v>
      </c>
      <c r="B81" s="38">
        <v>30</v>
      </c>
    </row>
    <row r="82" spans="1:2" ht="15" customHeight="1" x14ac:dyDescent="0.25">
      <c r="A82" s="25" t="s">
        <v>97</v>
      </c>
      <c r="B82" s="38">
        <v>800</v>
      </c>
    </row>
    <row r="83" spans="1:2" ht="15" customHeight="1" x14ac:dyDescent="0.25">
      <c r="A83" s="25" t="s">
        <v>98</v>
      </c>
      <c r="B83" s="38">
        <v>400</v>
      </c>
    </row>
    <row r="84" spans="1:2" ht="15" customHeight="1" x14ac:dyDescent="0.25">
      <c r="A84" s="25" t="s">
        <v>99</v>
      </c>
      <c r="B84" s="38">
        <v>250</v>
      </c>
    </row>
    <row r="85" spans="1:2" ht="15" customHeight="1" x14ac:dyDescent="0.25">
      <c r="A85" s="25" t="s">
        <v>100</v>
      </c>
      <c r="B85" s="38">
        <v>300</v>
      </c>
    </row>
    <row r="86" spans="1:2" ht="15" customHeight="1" x14ac:dyDescent="0.25">
      <c r="A86" s="25" t="s">
        <v>101</v>
      </c>
      <c r="B86" s="38">
        <v>200</v>
      </c>
    </row>
    <row r="87" spans="1:2" ht="15" customHeight="1" x14ac:dyDescent="0.25">
      <c r="A87" s="25" t="s">
        <v>102</v>
      </c>
      <c r="B87" s="38">
        <v>150</v>
      </c>
    </row>
    <row r="88" spans="1:2" ht="15" customHeight="1" x14ac:dyDescent="0.25">
      <c r="A88" s="25" t="s">
        <v>103</v>
      </c>
      <c r="B88" s="39">
        <f>(B81*12)+B82+B83+B84+B85+B86+B87</f>
        <v>2460</v>
      </c>
    </row>
    <row r="89" spans="1:2" ht="15" customHeight="1" x14ac:dyDescent="0.25"/>
    <row r="90" spans="1:2" ht="15" customHeight="1" x14ac:dyDescent="0.25">
      <c r="A90" s="75" t="s">
        <v>104</v>
      </c>
      <c r="B90" s="75"/>
    </row>
    <row r="91" spans="1:2" ht="15" customHeight="1" x14ac:dyDescent="0.25">
      <c r="A91" s="25" t="s">
        <v>105</v>
      </c>
      <c r="B91" s="27">
        <v>0.8</v>
      </c>
    </row>
    <row r="92" spans="1:2" ht="15" customHeight="1" x14ac:dyDescent="0.25">
      <c r="A92" s="25" t="s">
        <v>106</v>
      </c>
      <c r="B92" s="28">
        <f>B26*B91</f>
        <v>280000</v>
      </c>
    </row>
    <row r="93" spans="1:2" ht="15" customHeight="1" x14ac:dyDescent="0.25">
      <c r="A93" s="25" t="s">
        <v>107</v>
      </c>
      <c r="B93" s="27">
        <v>0.02</v>
      </c>
    </row>
    <row r="94" spans="1:2" ht="15" customHeight="1" x14ac:dyDescent="0.25">
      <c r="A94" s="25" t="s">
        <v>108</v>
      </c>
      <c r="B94" s="28">
        <f>B92*B93</f>
        <v>5600</v>
      </c>
    </row>
    <row r="95" spans="1:2" ht="15" customHeight="1" x14ac:dyDescent="0.25">
      <c r="A95" s="25" t="s">
        <v>109</v>
      </c>
      <c r="B95" s="27">
        <v>0.42</v>
      </c>
    </row>
    <row r="96" spans="1:2" ht="15" customHeight="1" x14ac:dyDescent="0.25">
      <c r="A96" s="25" t="s">
        <v>110</v>
      </c>
      <c r="B96" s="38">
        <v>200</v>
      </c>
    </row>
    <row r="97" spans="1:31" ht="15" customHeight="1" x14ac:dyDescent="0.25"/>
    <row r="98" spans="1:31" ht="15" customHeight="1" x14ac:dyDescent="0.25"/>
    <row r="99" spans="1:31" ht="15" customHeight="1" x14ac:dyDescent="0.25">
      <c r="A99" s="47" t="s">
        <v>111</v>
      </c>
      <c r="B99" s="48" t="s">
        <v>112</v>
      </c>
      <c r="C99" s="48" t="s">
        <v>113</v>
      </c>
      <c r="D99" s="48" t="s">
        <v>114</v>
      </c>
      <c r="E99" s="48" t="s">
        <v>115</v>
      </c>
      <c r="F99" s="48" t="s">
        <v>116</v>
      </c>
      <c r="G99" s="48" t="s">
        <v>117</v>
      </c>
      <c r="H99" s="48" t="s">
        <v>118</v>
      </c>
      <c r="I99" s="48" t="s">
        <v>119</v>
      </c>
      <c r="J99" s="48" t="s">
        <v>120</v>
      </c>
      <c r="K99" s="48" t="s">
        <v>121</v>
      </c>
      <c r="L99" s="48" t="s">
        <v>122</v>
      </c>
      <c r="M99" s="48" t="s">
        <v>123</v>
      </c>
      <c r="N99" s="48" t="s">
        <v>124</v>
      </c>
      <c r="O99" s="48" t="s">
        <v>125</v>
      </c>
      <c r="P99" s="48" t="s">
        <v>126</v>
      </c>
      <c r="Q99" s="48" t="s">
        <v>127</v>
      </c>
      <c r="R99" s="48" t="s">
        <v>128</v>
      </c>
      <c r="S99" s="48" t="s">
        <v>129</v>
      </c>
      <c r="T99" s="48" t="s">
        <v>130</v>
      </c>
      <c r="U99" s="48" t="s">
        <v>131</v>
      </c>
      <c r="V99" s="48" t="s">
        <v>132</v>
      </c>
      <c r="W99" s="48" t="s">
        <v>133</v>
      </c>
      <c r="X99" s="48" t="s">
        <v>134</v>
      </c>
      <c r="Y99" s="48" t="s">
        <v>135</v>
      </c>
      <c r="Z99" s="48" t="s">
        <v>136</v>
      </c>
      <c r="AA99" s="48" t="s">
        <v>137</v>
      </c>
      <c r="AB99" s="48" t="s">
        <v>138</v>
      </c>
      <c r="AC99" s="48" t="s">
        <v>139</v>
      </c>
      <c r="AD99" s="48" t="s">
        <v>140</v>
      </c>
      <c r="AE99" s="48" t="s">
        <v>141</v>
      </c>
    </row>
    <row r="100" spans="1:31" ht="15" customHeight="1" x14ac:dyDescent="0.25">
      <c r="A100" s="25" t="s">
        <v>142</v>
      </c>
      <c r="B100" s="28">
        <f>B73*12</f>
        <v>12000</v>
      </c>
      <c r="C100" s="28">
        <f t="shared" ref="C100:AE100" si="0">B100*(1+$B$78)</f>
        <v>12240</v>
      </c>
      <c r="D100" s="28">
        <f t="shared" si="0"/>
        <v>12484.800000000001</v>
      </c>
      <c r="E100" s="28">
        <f t="shared" si="0"/>
        <v>12734.496000000001</v>
      </c>
      <c r="F100" s="28">
        <f t="shared" si="0"/>
        <v>12989.185920000002</v>
      </c>
      <c r="G100" s="28">
        <f t="shared" si="0"/>
        <v>13248.969638400002</v>
      </c>
      <c r="H100" s="28">
        <f t="shared" si="0"/>
        <v>13513.949031168002</v>
      </c>
      <c r="I100" s="28">
        <f t="shared" si="0"/>
        <v>13784.228011791361</v>
      </c>
      <c r="J100" s="28">
        <f t="shared" si="0"/>
        <v>14059.91257202719</v>
      </c>
      <c r="K100" s="28">
        <f t="shared" si="0"/>
        <v>14341.110823467734</v>
      </c>
      <c r="L100" s="28">
        <f t="shared" si="0"/>
        <v>14627.933039937088</v>
      </c>
      <c r="M100" s="28">
        <f t="shared" si="0"/>
        <v>14920.491700735831</v>
      </c>
      <c r="N100" s="28">
        <f t="shared" si="0"/>
        <v>15218.901534750548</v>
      </c>
      <c r="O100" s="28">
        <f t="shared" si="0"/>
        <v>15523.27956544556</v>
      </c>
      <c r="P100" s="28">
        <f t="shared" si="0"/>
        <v>15833.745156754472</v>
      </c>
      <c r="Q100" s="28">
        <f t="shared" si="0"/>
        <v>16150.420059889562</v>
      </c>
      <c r="R100" s="28">
        <f t="shared" si="0"/>
        <v>16473.428461087355</v>
      </c>
      <c r="S100" s="28">
        <f t="shared" si="0"/>
        <v>16802.897030309101</v>
      </c>
      <c r="T100" s="28">
        <f t="shared" si="0"/>
        <v>17138.954970915282</v>
      </c>
      <c r="U100" s="28">
        <f t="shared" si="0"/>
        <v>17481.734070333587</v>
      </c>
      <c r="V100" s="28">
        <f t="shared" si="0"/>
        <v>17831.368751740258</v>
      </c>
      <c r="W100" s="28">
        <f t="shared" si="0"/>
        <v>18187.996126775062</v>
      </c>
      <c r="X100" s="28">
        <f t="shared" si="0"/>
        <v>18551.756049310563</v>
      </c>
      <c r="Y100" s="28">
        <f t="shared" si="0"/>
        <v>18922.791170296776</v>
      </c>
      <c r="Z100" s="28">
        <f t="shared" si="0"/>
        <v>19301.246993702713</v>
      </c>
      <c r="AA100" s="28">
        <f t="shared" si="0"/>
        <v>19687.271933576769</v>
      </c>
      <c r="AB100" s="28">
        <f t="shared" si="0"/>
        <v>20081.017372248305</v>
      </c>
      <c r="AC100" s="28">
        <f t="shared" si="0"/>
        <v>20482.63771969327</v>
      </c>
      <c r="AD100" s="28">
        <f t="shared" si="0"/>
        <v>20892.290474087134</v>
      </c>
      <c r="AE100" s="28">
        <f t="shared" si="0"/>
        <v>21310.136283568878</v>
      </c>
    </row>
    <row r="101" spans="1:31" ht="15" customHeight="1" x14ac:dyDescent="0.25">
      <c r="A101" s="25" t="s">
        <v>143</v>
      </c>
      <c r="B101" s="28">
        <f>B88</f>
        <v>2460</v>
      </c>
      <c r="C101" s="28">
        <f t="shared" ref="C101:AE101" si="1">B101*(1+0.02)</f>
        <v>2509.1999999999998</v>
      </c>
      <c r="D101" s="28">
        <f t="shared" si="1"/>
        <v>2559.384</v>
      </c>
      <c r="E101" s="28">
        <f t="shared" si="1"/>
        <v>2610.57168</v>
      </c>
      <c r="F101" s="28">
        <f t="shared" si="1"/>
        <v>2662.7831136</v>
      </c>
      <c r="G101" s="28">
        <f t="shared" si="1"/>
        <v>2716.0387758719999</v>
      </c>
      <c r="H101" s="28">
        <f t="shared" si="1"/>
        <v>2770.3595513894397</v>
      </c>
      <c r="I101" s="28">
        <f t="shared" si="1"/>
        <v>2825.7667424172287</v>
      </c>
      <c r="J101" s="28">
        <f t="shared" si="1"/>
        <v>2882.2820772655732</v>
      </c>
      <c r="K101" s="28">
        <f t="shared" si="1"/>
        <v>2939.9277188108849</v>
      </c>
      <c r="L101" s="28">
        <f t="shared" si="1"/>
        <v>2998.7262731871028</v>
      </c>
      <c r="M101" s="28">
        <f t="shared" si="1"/>
        <v>3058.7007986508447</v>
      </c>
      <c r="N101" s="28">
        <f t="shared" si="1"/>
        <v>3119.8748146238618</v>
      </c>
      <c r="O101" s="28">
        <f t="shared" si="1"/>
        <v>3182.2723109163389</v>
      </c>
      <c r="P101" s="28">
        <f t="shared" si="1"/>
        <v>3245.9177571346659</v>
      </c>
      <c r="Q101" s="28">
        <f t="shared" si="1"/>
        <v>3310.8361122773595</v>
      </c>
      <c r="R101" s="28">
        <f t="shared" si="1"/>
        <v>3377.0528345229068</v>
      </c>
      <c r="S101" s="28">
        <f t="shared" si="1"/>
        <v>3444.5938912133652</v>
      </c>
      <c r="T101" s="28">
        <f t="shared" si="1"/>
        <v>3513.4857690376325</v>
      </c>
      <c r="U101" s="28">
        <f t="shared" si="1"/>
        <v>3583.7554844183851</v>
      </c>
      <c r="V101" s="28">
        <f t="shared" si="1"/>
        <v>3655.4305941067528</v>
      </c>
      <c r="W101" s="28">
        <f t="shared" si="1"/>
        <v>3728.5392059888877</v>
      </c>
      <c r="X101" s="28">
        <f t="shared" si="1"/>
        <v>3803.1099901086654</v>
      </c>
      <c r="Y101" s="28">
        <f t="shared" si="1"/>
        <v>3879.1721899108388</v>
      </c>
      <c r="Z101" s="28">
        <f t="shared" si="1"/>
        <v>3956.7556337090555</v>
      </c>
      <c r="AA101" s="28">
        <f t="shared" si="1"/>
        <v>4035.8907463832365</v>
      </c>
      <c r="AB101" s="28">
        <f t="shared" si="1"/>
        <v>4116.6085613109017</v>
      </c>
      <c r="AC101" s="28">
        <f t="shared" si="1"/>
        <v>4198.9407325371194</v>
      </c>
      <c r="AD101" s="28">
        <f t="shared" si="1"/>
        <v>4282.919547187862</v>
      </c>
      <c r="AE101" s="28">
        <f t="shared" si="1"/>
        <v>4368.5779381316197</v>
      </c>
    </row>
    <row r="102" spans="1:31" ht="15" customHeight="1" x14ac:dyDescent="0.25">
      <c r="A102" s="25" t="s">
        <v>144</v>
      </c>
      <c r="B102" s="28">
        <f>B62*B63</f>
        <v>11145.575000000001</v>
      </c>
      <c r="C102" s="28">
        <f t="shared" ref="C102:AE102" si="2">IF(B108&gt;0,B108*$B$63,0)</f>
        <v>10922.663500000001</v>
      </c>
      <c r="D102" s="28">
        <f t="shared" si="2"/>
        <v>10691.950097499999</v>
      </c>
      <c r="E102" s="28">
        <f t="shared" si="2"/>
        <v>10453.161725912501</v>
      </c>
      <c r="F102" s="28">
        <f t="shared" si="2"/>
        <v>10206.015761319439</v>
      </c>
      <c r="G102" s="28">
        <f t="shared" si="2"/>
        <v>9950.2196879656185</v>
      </c>
      <c r="H102" s="28">
        <f t="shared" si="2"/>
        <v>9685.4707520444153</v>
      </c>
      <c r="I102" s="28">
        <f t="shared" si="2"/>
        <v>9411.4556033659701</v>
      </c>
      <c r="J102" s="28">
        <f t="shared" si="2"/>
        <v>9127.8499244837785</v>
      </c>
      <c r="K102" s="28">
        <f t="shared" si="2"/>
        <v>8834.3180468407099</v>
      </c>
      <c r="L102" s="28">
        <f t="shared" si="2"/>
        <v>8530.5125534801355</v>
      </c>
      <c r="M102" s="28">
        <f t="shared" si="2"/>
        <v>8216.0738678519392</v>
      </c>
      <c r="N102" s="28">
        <f t="shared" si="2"/>
        <v>7890.629828226758</v>
      </c>
      <c r="O102" s="28">
        <f t="shared" si="2"/>
        <v>7553.7952472146944</v>
      </c>
      <c r="P102" s="28">
        <f t="shared" si="2"/>
        <v>7205.1714558672084</v>
      </c>
      <c r="Q102" s="28">
        <f t="shared" si="2"/>
        <v>6844.3458318225603</v>
      </c>
      <c r="R102" s="28">
        <f t="shared" si="2"/>
        <v>6470.8913109363502</v>
      </c>
      <c r="S102" s="28">
        <f t="shared" si="2"/>
        <v>6084.3658818191225</v>
      </c>
      <c r="T102" s="28">
        <f t="shared" si="2"/>
        <v>5684.3120626827922</v>
      </c>
      <c r="U102" s="28">
        <f t="shared" si="2"/>
        <v>5270.2563598766892</v>
      </c>
      <c r="V102" s="28">
        <f t="shared" si="2"/>
        <v>4841.7087074723731</v>
      </c>
      <c r="W102" s="28">
        <f t="shared" si="2"/>
        <v>4398.1618872339068</v>
      </c>
      <c r="X102" s="28">
        <f t="shared" si="2"/>
        <v>3939.0909282870934</v>
      </c>
      <c r="Y102" s="28">
        <f t="shared" si="2"/>
        <v>3463.9524857771416</v>
      </c>
      <c r="Z102" s="28">
        <f t="shared" si="2"/>
        <v>2972.1841977793415</v>
      </c>
      <c r="AA102" s="28">
        <f t="shared" si="2"/>
        <v>2463.2040197016181</v>
      </c>
      <c r="AB102" s="28">
        <f t="shared" si="2"/>
        <v>1936.4095353911744</v>
      </c>
      <c r="AC102" s="28">
        <f t="shared" si="2"/>
        <v>1391.1772441298654</v>
      </c>
      <c r="AD102" s="28">
        <f t="shared" si="2"/>
        <v>826.8618226744104</v>
      </c>
      <c r="AE102" s="28">
        <f t="shared" si="2"/>
        <v>242.79536146801465</v>
      </c>
    </row>
    <row r="103" spans="1:31" ht="15" customHeight="1" x14ac:dyDescent="0.25">
      <c r="A103" s="25" t="s">
        <v>145</v>
      </c>
      <c r="B103" s="28">
        <f>B94</f>
        <v>5600</v>
      </c>
      <c r="C103" s="28">
        <f>B94</f>
        <v>5600</v>
      </c>
      <c r="D103" s="28">
        <f>B94</f>
        <v>5600</v>
      </c>
      <c r="E103" s="28">
        <f>B94</f>
        <v>5600</v>
      </c>
      <c r="F103" s="28">
        <f>B94</f>
        <v>5600</v>
      </c>
      <c r="G103" s="28">
        <f>B94</f>
        <v>5600</v>
      </c>
      <c r="H103" s="28">
        <f>B94</f>
        <v>5600</v>
      </c>
      <c r="I103" s="28">
        <f>B94</f>
        <v>5600</v>
      </c>
      <c r="J103" s="28">
        <f>B94</f>
        <v>5600</v>
      </c>
      <c r="K103" s="28">
        <f>B94</f>
        <v>5600</v>
      </c>
      <c r="L103" s="28">
        <f>B94</f>
        <v>5600</v>
      </c>
      <c r="M103" s="28">
        <f>B94</f>
        <v>5600</v>
      </c>
      <c r="N103" s="28">
        <f>B94</f>
        <v>5600</v>
      </c>
      <c r="O103" s="28">
        <f>B94</f>
        <v>5600</v>
      </c>
      <c r="P103" s="28">
        <f>B94</f>
        <v>5600</v>
      </c>
      <c r="Q103" s="28">
        <f>B94</f>
        <v>5600</v>
      </c>
      <c r="R103" s="28">
        <f>B94</f>
        <v>5600</v>
      </c>
      <c r="S103" s="28">
        <f>B94</f>
        <v>5600</v>
      </c>
      <c r="T103" s="28">
        <f>B94</f>
        <v>5600</v>
      </c>
      <c r="U103" s="28">
        <f>B94</f>
        <v>5600</v>
      </c>
      <c r="V103" s="28">
        <f>B94</f>
        <v>5600</v>
      </c>
      <c r="W103" s="28">
        <f>B94</f>
        <v>5600</v>
      </c>
      <c r="X103" s="28">
        <f>B94</f>
        <v>5600</v>
      </c>
      <c r="Y103" s="28">
        <f>B94</f>
        <v>5600</v>
      </c>
      <c r="Z103" s="28">
        <f>B94</f>
        <v>5600</v>
      </c>
      <c r="AA103" s="28">
        <f>B94</f>
        <v>5600</v>
      </c>
      <c r="AB103" s="28">
        <f>B94</f>
        <v>5600</v>
      </c>
      <c r="AC103" s="28">
        <f>B94</f>
        <v>5600</v>
      </c>
      <c r="AD103" s="28">
        <f>B94</f>
        <v>5600</v>
      </c>
      <c r="AE103" s="28">
        <f>B94</f>
        <v>5600</v>
      </c>
    </row>
    <row r="104" spans="1:31" ht="15" customHeight="1" x14ac:dyDescent="0.25">
      <c r="A104" s="25" t="s">
        <v>146</v>
      </c>
      <c r="B104" s="28">
        <f t="shared" ref="B104:AE104" si="3">B100-B101-B102-B103</f>
        <v>-7205.5750000000007</v>
      </c>
      <c r="C104" s="28">
        <f t="shared" si="3"/>
        <v>-6791.8635000000013</v>
      </c>
      <c r="D104" s="28">
        <f t="shared" si="3"/>
        <v>-6366.5340974999981</v>
      </c>
      <c r="E104" s="28">
        <f t="shared" si="3"/>
        <v>-5929.2374059124995</v>
      </c>
      <c r="F104" s="28">
        <f t="shared" si="3"/>
        <v>-5479.6129549194375</v>
      </c>
      <c r="G104" s="28">
        <f t="shared" si="3"/>
        <v>-5017.2888254376157</v>
      </c>
      <c r="H104" s="28">
        <f t="shared" si="3"/>
        <v>-4541.8812722658531</v>
      </c>
      <c r="I104" s="28">
        <f t="shared" si="3"/>
        <v>-4052.9943339918373</v>
      </c>
      <c r="J104" s="28">
        <f t="shared" si="3"/>
        <v>-3550.2194297221631</v>
      </c>
      <c r="K104" s="28">
        <f t="shared" si="3"/>
        <v>-3033.1349421838604</v>
      </c>
      <c r="L104" s="28">
        <f t="shared" si="3"/>
        <v>-2501.3057867301504</v>
      </c>
      <c r="M104" s="28">
        <f t="shared" si="3"/>
        <v>-1954.2829657669536</v>
      </c>
      <c r="N104" s="28">
        <f t="shared" si="3"/>
        <v>-1391.603108100071</v>
      </c>
      <c r="O104" s="28">
        <f t="shared" si="3"/>
        <v>-812.78799268547391</v>
      </c>
      <c r="P104" s="28">
        <f t="shared" si="3"/>
        <v>-217.34405624740248</v>
      </c>
      <c r="Q104" s="28">
        <f t="shared" si="3"/>
        <v>395.2381157896416</v>
      </c>
      <c r="R104" s="28">
        <f t="shared" si="3"/>
        <v>1025.4843156280976</v>
      </c>
      <c r="S104" s="28">
        <f t="shared" si="3"/>
        <v>1673.9372572766142</v>
      </c>
      <c r="T104" s="28">
        <f t="shared" si="3"/>
        <v>2341.1571391948573</v>
      </c>
      <c r="U104" s="28">
        <f t="shared" si="3"/>
        <v>3027.7222260385133</v>
      </c>
      <c r="V104" s="28">
        <f t="shared" si="3"/>
        <v>3734.2294501611323</v>
      </c>
      <c r="W104" s="28">
        <f t="shared" si="3"/>
        <v>4461.2950335522692</v>
      </c>
      <c r="X104" s="28">
        <f t="shared" si="3"/>
        <v>5209.5551309148032</v>
      </c>
      <c r="Y104" s="28">
        <f t="shared" si="3"/>
        <v>5979.6664946087967</v>
      </c>
      <c r="Z104" s="28">
        <f t="shared" si="3"/>
        <v>6772.3071622143161</v>
      </c>
      <c r="AA104" s="28">
        <f t="shared" si="3"/>
        <v>7588.1771674919146</v>
      </c>
      <c r="AB104" s="28">
        <f t="shared" si="3"/>
        <v>8427.9992755462281</v>
      </c>
      <c r="AC104" s="28">
        <f t="shared" si="3"/>
        <v>9292.5197430262851</v>
      </c>
      <c r="AD104" s="28">
        <f t="shared" si="3"/>
        <v>10182.50910422486</v>
      </c>
      <c r="AE104" s="28">
        <f t="shared" si="3"/>
        <v>11098.762983969242</v>
      </c>
    </row>
    <row r="105" spans="1:31" ht="15" customHeight="1" x14ac:dyDescent="0.25">
      <c r="A105" s="25" t="s">
        <v>147</v>
      </c>
      <c r="B105" s="28">
        <f>-B104*B95</f>
        <v>3026.3415</v>
      </c>
      <c r="C105" s="28">
        <f>-B104*B95</f>
        <v>3026.3415</v>
      </c>
      <c r="D105" s="28">
        <f>-B104*B95</f>
        <v>3026.3415</v>
      </c>
      <c r="E105" s="28">
        <f>-B104*B95</f>
        <v>3026.3415</v>
      </c>
      <c r="F105" s="28">
        <f>-B104*B95</f>
        <v>3026.3415</v>
      </c>
      <c r="G105" s="28">
        <f>-B104*B95</f>
        <v>3026.3415</v>
      </c>
      <c r="H105" s="28">
        <f>-B104*B95</f>
        <v>3026.3415</v>
      </c>
      <c r="I105" s="28">
        <f>-B104*B95</f>
        <v>3026.3415</v>
      </c>
      <c r="J105" s="28">
        <f>-B104*B95</f>
        <v>3026.3415</v>
      </c>
      <c r="K105" s="28">
        <f>-B104*B95</f>
        <v>3026.3415</v>
      </c>
      <c r="L105" s="28">
        <f>-B104*B95</f>
        <v>3026.3415</v>
      </c>
      <c r="M105" s="28">
        <f>-B104*B95</f>
        <v>3026.3415</v>
      </c>
      <c r="N105" s="28">
        <f>-B104*B95</f>
        <v>3026.3415</v>
      </c>
      <c r="O105" s="28">
        <f>-B104*B95</f>
        <v>3026.3415</v>
      </c>
      <c r="P105" s="28">
        <f>-B104*B95</f>
        <v>3026.3415</v>
      </c>
      <c r="Q105" s="28">
        <f>-B104*B95</f>
        <v>3026.3415</v>
      </c>
      <c r="R105" s="28">
        <f>-B104*B95</f>
        <v>3026.3415</v>
      </c>
      <c r="S105" s="28">
        <f>-B104*B95</f>
        <v>3026.3415</v>
      </c>
      <c r="T105" s="28">
        <f>-B104*B95</f>
        <v>3026.3415</v>
      </c>
      <c r="U105" s="28">
        <f>-B104*B95</f>
        <v>3026.3415</v>
      </c>
      <c r="V105" s="28">
        <f>-B104*B95</f>
        <v>3026.3415</v>
      </c>
      <c r="W105" s="28">
        <f>-B104*B95</f>
        <v>3026.3415</v>
      </c>
      <c r="X105" s="28">
        <f>-B104*B95</f>
        <v>3026.3415</v>
      </c>
      <c r="Y105" s="28">
        <f>-B104*B95</f>
        <v>3026.3415</v>
      </c>
      <c r="Z105" s="28">
        <f>-B104*B95</f>
        <v>3026.3415</v>
      </c>
      <c r="AA105" s="28">
        <f>-B104*B95</f>
        <v>3026.3415</v>
      </c>
      <c r="AB105" s="28">
        <f>-B104*B95</f>
        <v>3026.3415</v>
      </c>
      <c r="AC105" s="28">
        <f>-B104*B95</f>
        <v>3026.3415</v>
      </c>
      <c r="AD105" s="28">
        <f>-B104*B95</f>
        <v>3026.3415</v>
      </c>
      <c r="AE105" s="28">
        <f>-B104*B95</f>
        <v>3026.3415</v>
      </c>
    </row>
    <row r="106" spans="1:31" ht="15" customHeight="1" x14ac:dyDescent="0.25">
      <c r="A106" s="25" t="s">
        <v>148</v>
      </c>
      <c r="B106" s="28">
        <f>B66</f>
        <v>17514.475000000002</v>
      </c>
      <c r="C106" s="28">
        <f t="shared" ref="C106:AE106" si="4">IF(B108&gt;0,$B$66,0)</f>
        <v>17514.475000000002</v>
      </c>
      <c r="D106" s="28">
        <f t="shared" si="4"/>
        <v>17514.475000000002</v>
      </c>
      <c r="E106" s="28">
        <f t="shared" si="4"/>
        <v>17514.475000000002</v>
      </c>
      <c r="F106" s="28">
        <f t="shared" si="4"/>
        <v>17514.475000000002</v>
      </c>
      <c r="G106" s="28">
        <f t="shared" si="4"/>
        <v>17514.475000000002</v>
      </c>
      <c r="H106" s="28">
        <f t="shared" si="4"/>
        <v>17514.475000000002</v>
      </c>
      <c r="I106" s="28">
        <f t="shared" si="4"/>
        <v>17514.475000000002</v>
      </c>
      <c r="J106" s="28">
        <f t="shared" si="4"/>
        <v>17514.475000000002</v>
      </c>
      <c r="K106" s="28">
        <f t="shared" si="4"/>
        <v>17514.475000000002</v>
      </c>
      <c r="L106" s="28">
        <f t="shared" si="4"/>
        <v>17514.475000000002</v>
      </c>
      <c r="M106" s="28">
        <f t="shared" si="4"/>
        <v>17514.475000000002</v>
      </c>
      <c r="N106" s="28">
        <f t="shared" si="4"/>
        <v>17514.475000000002</v>
      </c>
      <c r="O106" s="28">
        <f t="shared" si="4"/>
        <v>17514.475000000002</v>
      </c>
      <c r="P106" s="28">
        <f t="shared" si="4"/>
        <v>17514.475000000002</v>
      </c>
      <c r="Q106" s="28">
        <f t="shared" si="4"/>
        <v>17514.475000000002</v>
      </c>
      <c r="R106" s="28">
        <f t="shared" si="4"/>
        <v>17514.475000000002</v>
      </c>
      <c r="S106" s="28">
        <f t="shared" si="4"/>
        <v>17514.475000000002</v>
      </c>
      <c r="T106" s="28">
        <f t="shared" si="4"/>
        <v>17514.475000000002</v>
      </c>
      <c r="U106" s="28">
        <f t="shared" si="4"/>
        <v>17514.475000000002</v>
      </c>
      <c r="V106" s="28">
        <f t="shared" si="4"/>
        <v>17514.475000000002</v>
      </c>
      <c r="W106" s="28">
        <f t="shared" si="4"/>
        <v>17514.475000000002</v>
      </c>
      <c r="X106" s="28">
        <f t="shared" si="4"/>
        <v>17514.475000000002</v>
      </c>
      <c r="Y106" s="28">
        <f t="shared" si="4"/>
        <v>17514.475000000002</v>
      </c>
      <c r="Z106" s="28">
        <f t="shared" si="4"/>
        <v>17514.475000000002</v>
      </c>
      <c r="AA106" s="28">
        <f t="shared" si="4"/>
        <v>17514.475000000002</v>
      </c>
      <c r="AB106" s="28">
        <f t="shared" si="4"/>
        <v>17514.475000000002</v>
      </c>
      <c r="AC106" s="28">
        <f t="shared" si="4"/>
        <v>17514.475000000002</v>
      </c>
      <c r="AD106" s="28">
        <f t="shared" si="4"/>
        <v>17514.475000000002</v>
      </c>
      <c r="AE106" s="28">
        <f t="shared" si="4"/>
        <v>17514.475000000002</v>
      </c>
    </row>
    <row r="107" spans="1:31" ht="15" customHeight="1" x14ac:dyDescent="0.25">
      <c r="A107" s="49" t="s">
        <v>149</v>
      </c>
      <c r="B107" s="50">
        <f t="shared" ref="B107:AE107" si="5">B100-B101-B106+B105</f>
        <v>-4948.1335000000017</v>
      </c>
      <c r="C107" s="50">
        <f t="shared" si="5"/>
        <v>-4757.3335000000025</v>
      </c>
      <c r="D107" s="50">
        <f t="shared" si="5"/>
        <v>-4562.7175000000007</v>
      </c>
      <c r="E107" s="50">
        <f t="shared" si="5"/>
        <v>-4364.2091799999998</v>
      </c>
      <c r="F107" s="50">
        <f t="shared" si="5"/>
        <v>-4161.7306936000004</v>
      </c>
      <c r="G107" s="50">
        <f t="shared" si="5"/>
        <v>-3955.2026374719994</v>
      </c>
      <c r="H107" s="50">
        <f t="shared" si="5"/>
        <v>-3744.54402022144</v>
      </c>
      <c r="I107" s="50">
        <f t="shared" si="5"/>
        <v>-3529.6722306258694</v>
      </c>
      <c r="J107" s="50">
        <f t="shared" si="5"/>
        <v>-3310.5030052383868</v>
      </c>
      <c r="K107" s="50">
        <f t="shared" si="5"/>
        <v>-3086.9503953431526</v>
      </c>
      <c r="L107" s="50">
        <f t="shared" si="5"/>
        <v>-2858.9267332500172</v>
      </c>
      <c r="M107" s="50">
        <f t="shared" si="5"/>
        <v>-2626.3425979150165</v>
      </c>
      <c r="N107" s="50">
        <f t="shared" si="5"/>
        <v>-2389.1067798733152</v>
      </c>
      <c r="O107" s="50">
        <f t="shared" si="5"/>
        <v>-2147.1262454707817</v>
      </c>
      <c r="P107" s="50">
        <f t="shared" si="5"/>
        <v>-1900.3061003801963</v>
      </c>
      <c r="Q107" s="50">
        <f t="shared" si="5"/>
        <v>-1648.5495523878003</v>
      </c>
      <c r="R107" s="50">
        <f t="shared" si="5"/>
        <v>-1391.7578734355543</v>
      </c>
      <c r="S107" s="50">
        <f t="shared" si="5"/>
        <v>-1129.8303609042655</v>
      </c>
      <c r="T107" s="50">
        <f t="shared" si="5"/>
        <v>-862.66429812235265</v>
      </c>
      <c r="U107" s="50">
        <f t="shared" si="5"/>
        <v>-590.15491408480057</v>
      </c>
      <c r="V107" s="50">
        <f t="shared" si="5"/>
        <v>-312.19534236649679</v>
      </c>
      <c r="W107" s="50">
        <f t="shared" si="5"/>
        <v>-28.676579213827154</v>
      </c>
      <c r="X107" s="50">
        <f t="shared" si="5"/>
        <v>260.51255920189533</v>
      </c>
      <c r="Y107" s="50">
        <f t="shared" si="5"/>
        <v>555.48548038593572</v>
      </c>
      <c r="Z107" s="50">
        <f t="shared" si="5"/>
        <v>856.35785999365498</v>
      </c>
      <c r="AA107" s="50">
        <f t="shared" si="5"/>
        <v>1163.2476871935301</v>
      </c>
      <c r="AB107" s="50">
        <f t="shared" si="5"/>
        <v>1476.2753109374003</v>
      </c>
      <c r="AC107" s="50">
        <f t="shared" si="5"/>
        <v>1795.5634871561483</v>
      </c>
      <c r="AD107" s="50">
        <f t="shared" si="5"/>
        <v>2121.2374268992694</v>
      </c>
      <c r="AE107" s="50">
        <f t="shared" si="5"/>
        <v>2453.424845437255</v>
      </c>
    </row>
    <row r="108" spans="1:31" ht="15" customHeight="1" x14ac:dyDescent="0.25">
      <c r="A108" s="49" t="s">
        <v>150</v>
      </c>
      <c r="B108" s="50">
        <f>MAX(0,B62-(B106-B102))</f>
        <v>312076.09999999998</v>
      </c>
      <c r="C108" s="50">
        <f t="shared" ref="C108:AE108" si="6">IF(B108&gt;0,MAX(0,B108-(C106-C102)),0)</f>
        <v>305484.28849999997</v>
      </c>
      <c r="D108" s="50">
        <f t="shared" si="6"/>
        <v>298661.76359749999</v>
      </c>
      <c r="E108" s="50">
        <f t="shared" si="6"/>
        <v>291600.45032341249</v>
      </c>
      <c r="F108" s="50">
        <f t="shared" si="6"/>
        <v>284291.99108473194</v>
      </c>
      <c r="G108" s="50">
        <f t="shared" si="6"/>
        <v>276727.73577269755</v>
      </c>
      <c r="H108" s="50">
        <f t="shared" si="6"/>
        <v>268898.73152474198</v>
      </c>
      <c r="I108" s="50">
        <f t="shared" si="6"/>
        <v>260795.71212810793</v>
      </c>
      <c r="J108" s="50">
        <f t="shared" si="6"/>
        <v>252409.0870525917</v>
      </c>
      <c r="K108" s="50">
        <f t="shared" si="6"/>
        <v>243728.93009943241</v>
      </c>
      <c r="L108" s="50">
        <f t="shared" si="6"/>
        <v>234744.96765291254</v>
      </c>
      <c r="M108" s="50">
        <f t="shared" si="6"/>
        <v>225446.56652076449</v>
      </c>
      <c r="N108" s="50">
        <f t="shared" si="6"/>
        <v>215822.72134899124</v>
      </c>
      <c r="O108" s="50">
        <f t="shared" si="6"/>
        <v>205862.04159620593</v>
      </c>
      <c r="P108" s="50">
        <f t="shared" si="6"/>
        <v>195552.73805207314</v>
      </c>
      <c r="Q108" s="50">
        <f t="shared" si="6"/>
        <v>184882.60888389571</v>
      </c>
      <c r="R108" s="50">
        <f t="shared" si="6"/>
        <v>173839.02519483207</v>
      </c>
      <c r="S108" s="50">
        <f t="shared" si="6"/>
        <v>162408.91607665119</v>
      </c>
      <c r="T108" s="50">
        <f t="shared" si="6"/>
        <v>150578.75313933397</v>
      </c>
      <c r="U108" s="50">
        <f t="shared" si="6"/>
        <v>138334.53449921065</v>
      </c>
      <c r="V108" s="50">
        <f t="shared" si="6"/>
        <v>125661.76820668303</v>
      </c>
      <c r="W108" s="50">
        <f t="shared" si="6"/>
        <v>112545.45509391694</v>
      </c>
      <c r="X108" s="50">
        <f t="shared" si="6"/>
        <v>98970.071022204036</v>
      </c>
      <c r="Y108" s="50">
        <f t="shared" si="6"/>
        <v>84919.548507981177</v>
      </c>
      <c r="Z108" s="50">
        <f t="shared" si="6"/>
        <v>70377.257705760509</v>
      </c>
      <c r="AA108" s="50">
        <f t="shared" si="6"/>
        <v>55325.98672546212</v>
      </c>
      <c r="AB108" s="50">
        <f t="shared" si="6"/>
        <v>39747.921260853291</v>
      </c>
      <c r="AC108" s="50">
        <f t="shared" si="6"/>
        <v>23624.623504983152</v>
      </c>
      <c r="AD108" s="50">
        <f t="shared" si="6"/>
        <v>6937.010327657561</v>
      </c>
      <c r="AE108" s="50">
        <f t="shared" si="6"/>
        <v>0</v>
      </c>
    </row>
    <row r="109" spans="1:31" ht="15" customHeight="1" x14ac:dyDescent="0.25"/>
    <row r="110" spans="1:31" ht="15" customHeight="1" x14ac:dyDescent="0.25"/>
    <row r="111" spans="1:31" ht="15" customHeight="1" x14ac:dyDescent="0.25"/>
    <row r="112" spans="1:31" ht="15" customHeight="1" x14ac:dyDescent="0.25"/>
    <row r="113" ht="15" customHeight="1" x14ac:dyDescent="0.25"/>
    <row r="114" ht="15" customHeight="1" x14ac:dyDescent="0.25"/>
    <row r="115" ht="15" customHeight="1" x14ac:dyDescent="0.25"/>
    <row r="116" ht="15" customHeight="1" x14ac:dyDescent="0.25"/>
    <row r="117" ht="15" customHeight="1" x14ac:dyDescent="0.25"/>
    <row r="118" ht="15" customHeight="1" x14ac:dyDescent="0.25"/>
    <row r="119" ht="15" customHeight="1" x14ac:dyDescent="0.25"/>
    <row r="120" ht="15" customHeight="1" x14ac:dyDescent="0.25"/>
    <row r="121" ht="15" customHeight="1" x14ac:dyDescent="0.25"/>
    <row r="122" ht="15" customHeight="1" x14ac:dyDescent="0.25"/>
    <row r="123" ht="15" customHeight="1" x14ac:dyDescent="0.25"/>
    <row r="124" ht="15" customHeight="1" x14ac:dyDescent="0.25"/>
    <row r="125" ht="15" customHeight="1" x14ac:dyDescent="0.25"/>
    <row r="126" ht="15" customHeight="1" x14ac:dyDescent="0.25"/>
    <row r="127" ht="15" customHeight="1" x14ac:dyDescent="0.25"/>
    <row r="128" ht="15" customHeight="1" x14ac:dyDescent="0.25"/>
  </sheetData>
  <mergeCells count="16">
    <mergeCell ref="A1:AE1"/>
    <mergeCell ref="A4:F4"/>
    <mergeCell ref="A5:A6"/>
    <mergeCell ref="A7:A8"/>
    <mergeCell ref="A10:B10"/>
    <mergeCell ref="A17:B17"/>
    <mergeCell ref="A25:B25"/>
    <mergeCell ref="A35:B35"/>
    <mergeCell ref="A50:B50"/>
    <mergeCell ref="A55:B55"/>
    <mergeCell ref="A90:B90"/>
    <mergeCell ref="C55:D55"/>
    <mergeCell ref="E55:F55"/>
    <mergeCell ref="A59:B59"/>
    <mergeCell ref="A71:B71"/>
    <mergeCell ref="A80:B80"/>
  </mergeCells>
  <conditionalFormatting sqref="A55:B55">
    <cfRule type="expression" dxfId="4" priority="2">
      <formula>$B$53&gt;0.15</formula>
    </cfRule>
    <cfRule type="expression" dxfId="3" priority="3">
      <formula>$B$53&lt;=0.15</formula>
    </cfRule>
  </conditionalFormatting>
  <pageMargins left="0.75" right="0.75" top="1" bottom="1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B4C7DC"/>
  </sheetPr>
  <dimension ref="A1:D51"/>
  <sheetViews>
    <sheetView showGridLines="0" zoomScale="80" zoomScaleNormal="80" workbookViewId="0">
      <pane xSplit="1" ySplit="5" topLeftCell="B21" activePane="bottomRight" state="frozen"/>
      <selection pane="topRight" activeCell="B1" sqref="B1"/>
      <selection pane="bottomLeft" activeCell="A21" sqref="A21"/>
      <selection pane="bottomRight" activeCell="H59" sqref="H59"/>
    </sheetView>
  </sheetViews>
  <sheetFormatPr baseColWidth="10" defaultColWidth="8.7109375" defaultRowHeight="15" x14ac:dyDescent="0.25"/>
  <cols>
    <col min="1" max="1" width="42" style="1" customWidth="1"/>
    <col min="2" max="4" width="18" style="1" customWidth="1"/>
  </cols>
  <sheetData>
    <row r="1" spans="1:4" ht="30" customHeight="1" x14ac:dyDescent="0.25">
      <c r="A1" s="72" t="s">
        <v>151</v>
      </c>
      <c r="B1" s="72"/>
      <c r="C1" s="72"/>
      <c r="D1" s="72"/>
    </row>
    <row r="2" spans="1:4" ht="27.95" customHeight="1" x14ac:dyDescent="0.25">
      <c r="A2" s="73" t="s">
        <v>152</v>
      </c>
      <c r="B2" s="73"/>
      <c r="C2" s="73"/>
      <c r="D2" s="73"/>
    </row>
    <row r="3" spans="1:4" ht="15" customHeight="1" x14ac:dyDescent="0.25"/>
    <row r="4" spans="1:4" ht="15" customHeight="1" x14ac:dyDescent="0.25">
      <c r="A4" s="71" t="s">
        <v>153</v>
      </c>
      <c r="B4" s="71"/>
      <c r="C4" s="71"/>
      <c r="D4" s="71"/>
    </row>
    <row r="5" spans="1:4" ht="15" customHeight="1" x14ac:dyDescent="0.25">
      <c r="A5" s="8" t="s">
        <v>154</v>
      </c>
      <c r="B5" s="9" t="s">
        <v>155</v>
      </c>
      <c r="C5" s="9" t="s">
        <v>156</v>
      </c>
      <c r="D5" s="9" t="s">
        <v>157</v>
      </c>
    </row>
    <row r="6" spans="1:4" ht="15" customHeight="1" x14ac:dyDescent="0.25">
      <c r="A6" s="14" t="s">
        <v>158</v>
      </c>
      <c r="B6" s="51">
        <v>0.15</v>
      </c>
      <c r="C6" s="51">
        <v>0</v>
      </c>
      <c r="D6" s="51">
        <v>-0.1</v>
      </c>
    </row>
    <row r="7" spans="1:4" ht="15" customHeight="1" x14ac:dyDescent="0.25">
      <c r="A7" s="14" t="s">
        <v>88</v>
      </c>
      <c r="B7" s="51">
        <v>-0.15</v>
      </c>
      <c r="C7" s="51">
        <v>0</v>
      </c>
      <c r="D7" s="51">
        <v>0.1</v>
      </c>
    </row>
    <row r="8" spans="1:4" ht="15" customHeight="1" x14ac:dyDescent="0.25">
      <c r="A8" s="14" t="s">
        <v>159</v>
      </c>
      <c r="B8" s="51">
        <v>0.15</v>
      </c>
      <c r="C8" s="51">
        <v>0</v>
      </c>
      <c r="D8" s="51">
        <v>-0.1</v>
      </c>
    </row>
    <row r="9" spans="1:4" ht="15" customHeight="1" x14ac:dyDescent="0.25">
      <c r="A9" s="14" t="s">
        <v>160</v>
      </c>
      <c r="B9" s="51">
        <v>-0.15</v>
      </c>
      <c r="C9" s="51">
        <v>0</v>
      </c>
      <c r="D9" s="51">
        <v>0.1</v>
      </c>
    </row>
    <row r="10" spans="1:4" ht="15" customHeight="1" x14ac:dyDescent="0.25">
      <c r="A10" s="14" t="s">
        <v>161</v>
      </c>
      <c r="B10" s="51">
        <v>-0.15</v>
      </c>
      <c r="C10" s="51">
        <v>0</v>
      </c>
      <c r="D10" s="51">
        <v>0.1</v>
      </c>
    </row>
    <row r="11" spans="1:4" ht="15" customHeight="1" x14ac:dyDescent="0.25">
      <c r="A11" s="14" t="s">
        <v>162</v>
      </c>
      <c r="B11" s="51">
        <v>0.15</v>
      </c>
      <c r="C11" s="51">
        <v>0</v>
      </c>
      <c r="D11" s="51">
        <v>-0.1</v>
      </c>
    </row>
    <row r="12" spans="1:4" ht="15" customHeight="1" x14ac:dyDescent="0.25">
      <c r="A12" s="14" t="s">
        <v>163</v>
      </c>
      <c r="B12" s="51">
        <v>0.15</v>
      </c>
      <c r="C12" s="51">
        <v>0</v>
      </c>
      <c r="D12" s="51">
        <v>-0.1</v>
      </c>
    </row>
    <row r="13" spans="1:4" ht="15" customHeight="1" x14ac:dyDescent="0.25">
      <c r="A13" s="14" t="s">
        <v>164</v>
      </c>
      <c r="B13" s="51">
        <v>-0.15</v>
      </c>
      <c r="C13" s="51">
        <v>0</v>
      </c>
      <c r="D13" s="51">
        <v>0.1</v>
      </c>
    </row>
    <row r="14" spans="1:4" ht="15" customHeight="1" x14ac:dyDescent="0.25">
      <c r="A14" s="14" t="s">
        <v>165</v>
      </c>
      <c r="B14" s="51">
        <v>0.15</v>
      </c>
      <c r="C14" s="51">
        <v>0</v>
      </c>
      <c r="D14" s="51">
        <v>-0.1</v>
      </c>
    </row>
    <row r="15" spans="1:4" ht="15" customHeight="1" x14ac:dyDescent="0.25">
      <c r="A15" s="14" t="s">
        <v>166</v>
      </c>
      <c r="B15" s="51">
        <v>0.15</v>
      </c>
      <c r="C15" s="51">
        <v>0</v>
      </c>
      <c r="D15" s="51">
        <v>-0.1</v>
      </c>
    </row>
    <row r="16" spans="1:4" ht="15" customHeight="1" x14ac:dyDescent="0.25"/>
    <row r="17" spans="1:4" ht="15" customHeight="1" x14ac:dyDescent="0.25">
      <c r="A17" s="71" t="s">
        <v>167</v>
      </c>
      <c r="B17" s="71"/>
      <c r="C17" s="71"/>
      <c r="D17" s="71"/>
    </row>
    <row r="18" spans="1:4" ht="15" customHeight="1" x14ac:dyDescent="0.25">
      <c r="A18" s="8" t="s">
        <v>154</v>
      </c>
      <c r="B18" s="9" t="s">
        <v>155</v>
      </c>
      <c r="C18" s="9" t="s">
        <v>156</v>
      </c>
      <c r="D18" s="9" t="s">
        <v>157</v>
      </c>
    </row>
    <row r="19" spans="1:4" ht="15" customHeight="1" x14ac:dyDescent="0.25">
      <c r="A19" s="14" t="s">
        <v>158</v>
      </c>
      <c r="B19" s="15">
        <f>'Immobilien-Kalkulation'!B26*(1+B6)</f>
        <v>402499.99999999994</v>
      </c>
      <c r="C19" s="15">
        <f>'Immobilien-Kalkulation'!B26*(1+C6)</f>
        <v>350000</v>
      </c>
      <c r="D19" s="15">
        <f>'Immobilien-Kalkulation'!B26*(1+D6)</f>
        <v>315000</v>
      </c>
    </row>
    <row r="20" spans="1:4" ht="15" customHeight="1" x14ac:dyDescent="0.25">
      <c r="A20" s="14" t="s">
        <v>88</v>
      </c>
      <c r="B20" s="16">
        <f>'Immobilien-Kalkulation'!B72*(1+B7)</f>
        <v>10.625</v>
      </c>
      <c r="C20" s="16">
        <f>'Immobilien-Kalkulation'!B72*(1+C7)</f>
        <v>12.5</v>
      </c>
      <c r="D20" s="16">
        <f>'Immobilien-Kalkulation'!B72*(1+D7)</f>
        <v>13.750000000000002</v>
      </c>
    </row>
    <row r="21" spans="1:4" ht="15" customHeight="1" x14ac:dyDescent="0.25">
      <c r="A21" s="14" t="s">
        <v>159</v>
      </c>
      <c r="B21" s="52">
        <f>'Immobilien-Kalkulation'!B63*(1+B8)</f>
        <v>4.0250000000000001E-2</v>
      </c>
      <c r="C21" s="52">
        <f>'Immobilien-Kalkulation'!B63*(1+C8)</f>
        <v>3.5000000000000003E-2</v>
      </c>
      <c r="D21" s="52">
        <f>'Immobilien-Kalkulation'!B63*(1+D8)</f>
        <v>3.1500000000000007E-2</v>
      </c>
    </row>
    <row r="22" spans="1:4" ht="15" customHeight="1" x14ac:dyDescent="0.25">
      <c r="A22" s="14" t="s">
        <v>160</v>
      </c>
      <c r="B22" s="52">
        <f>'Immobilien-Kalkulation'!B64*(1+B9)</f>
        <v>1.7000000000000001E-2</v>
      </c>
      <c r="C22" s="52">
        <f>'Immobilien-Kalkulation'!B64*(1+C9)</f>
        <v>0.02</v>
      </c>
      <c r="D22" s="52">
        <f>'Immobilien-Kalkulation'!B64*(1+D9)</f>
        <v>2.2000000000000002E-2</v>
      </c>
    </row>
    <row r="23" spans="1:4" ht="15" customHeight="1" x14ac:dyDescent="0.25">
      <c r="A23" s="14" t="s">
        <v>161</v>
      </c>
      <c r="B23" s="52">
        <f>'Immobilien-Kalkulation'!B78*(1+B10)</f>
        <v>1.7000000000000001E-2</v>
      </c>
      <c r="C23" s="52">
        <f>'Immobilien-Kalkulation'!B78*(1+C10)</f>
        <v>0.02</v>
      </c>
      <c r="D23" s="52">
        <f>'Immobilien-Kalkulation'!B78*(1+D10)</f>
        <v>2.2000000000000002E-2</v>
      </c>
    </row>
    <row r="24" spans="1:4" ht="15" customHeight="1" x14ac:dyDescent="0.25">
      <c r="A24" s="14" t="s">
        <v>162</v>
      </c>
      <c r="B24" s="15">
        <f>'Immobilien-Kalkulation'!B88*(1+B11)</f>
        <v>2829</v>
      </c>
      <c r="C24" s="15">
        <f>'Immobilien-Kalkulation'!B88*(1+C11)</f>
        <v>2460</v>
      </c>
      <c r="D24" s="15">
        <f>'Immobilien-Kalkulation'!B88*(1+D11)</f>
        <v>2214</v>
      </c>
    </row>
    <row r="25" spans="1:4" ht="15" customHeight="1" x14ac:dyDescent="0.25">
      <c r="A25" s="14" t="s">
        <v>163</v>
      </c>
      <c r="B25" s="52">
        <f>'Immobilien-Kalkulation'!B75*(1+B12)</f>
        <v>2.3E-2</v>
      </c>
      <c r="C25" s="52">
        <f>'Immobilien-Kalkulation'!B75*(1+C12)</f>
        <v>0.02</v>
      </c>
      <c r="D25" s="52">
        <f>'Immobilien-Kalkulation'!B75*(1+D12)</f>
        <v>1.8000000000000002E-2</v>
      </c>
    </row>
    <row r="26" spans="1:4" ht="15" customHeight="1" x14ac:dyDescent="0.25">
      <c r="A26" s="14" t="s">
        <v>164</v>
      </c>
      <c r="B26" s="52">
        <f>'Immobilien-Kalkulation'!B12*(1+B13)</f>
        <v>2.1250000000000002E-2</v>
      </c>
      <c r="C26" s="52">
        <f>'Immobilien-Kalkulation'!B12*(1+C13)</f>
        <v>2.5000000000000001E-2</v>
      </c>
      <c r="D26" s="52">
        <f>'Immobilien-Kalkulation'!B12*(1+D13)</f>
        <v>2.7500000000000004E-2</v>
      </c>
    </row>
    <row r="27" spans="1:4" ht="15" customHeight="1" x14ac:dyDescent="0.25">
      <c r="A27" s="14" t="s">
        <v>165</v>
      </c>
      <c r="B27" s="15">
        <f>'Immobilien-Kalkulation'!B87*(1+B14)</f>
        <v>172.5</v>
      </c>
      <c r="C27" s="15">
        <f>'Immobilien-Kalkulation'!B87*(1+C14)</f>
        <v>150</v>
      </c>
      <c r="D27" s="15">
        <f>'Immobilien-Kalkulation'!B87*(1+D14)</f>
        <v>135</v>
      </c>
    </row>
    <row r="28" spans="1:4" ht="15" customHeight="1" x14ac:dyDescent="0.25">
      <c r="A28" s="14" t="s">
        <v>166</v>
      </c>
      <c r="B28" s="15">
        <f>'Immobilien-Kalkulation'!B82*(1+B15)</f>
        <v>919.99999999999989</v>
      </c>
      <c r="C28" s="15">
        <f>'Immobilien-Kalkulation'!B82*(1+C15)</f>
        <v>800</v>
      </c>
      <c r="D28" s="15">
        <f>'Immobilien-Kalkulation'!B82*(1+D15)</f>
        <v>720</v>
      </c>
    </row>
    <row r="29" spans="1:4" ht="15" customHeight="1" x14ac:dyDescent="0.25"/>
    <row r="30" spans="1:4" ht="15" customHeight="1" x14ac:dyDescent="0.25">
      <c r="A30" s="71" t="s">
        <v>168</v>
      </c>
      <c r="B30" s="71"/>
      <c r="C30" s="71"/>
      <c r="D30" s="71"/>
    </row>
    <row r="31" spans="1:4" ht="15" customHeight="1" x14ac:dyDescent="0.25">
      <c r="A31" s="8" t="s">
        <v>154</v>
      </c>
      <c r="B31" s="9" t="s">
        <v>155</v>
      </c>
      <c r="C31" s="9" t="s">
        <v>156</v>
      </c>
      <c r="D31" s="9" t="s">
        <v>157</v>
      </c>
    </row>
    <row r="32" spans="1:4" ht="15" customHeight="1" x14ac:dyDescent="0.25">
      <c r="A32" s="14" t="s">
        <v>169</v>
      </c>
      <c r="B32" s="41">
        <f>B20*'Immobilien-Kalkulation'!B27*12</f>
        <v>10200</v>
      </c>
      <c r="C32" s="41">
        <f>C20*'Immobilien-Kalkulation'!B27*12</f>
        <v>12000</v>
      </c>
      <c r="D32" s="41">
        <f>D20*'Immobilien-Kalkulation'!B27*12</f>
        <v>13200.000000000004</v>
      </c>
    </row>
    <row r="33" spans="1:4" ht="15" customHeight="1" x14ac:dyDescent="0.25">
      <c r="A33" s="14" t="s">
        <v>12</v>
      </c>
      <c r="B33" s="41">
        <f>B19+'Immobilien-Kalkulation'!B47</f>
        <v>450944.99999999994</v>
      </c>
      <c r="C33" s="41">
        <f>C19+'Immobilien-Kalkulation'!B47</f>
        <v>398445</v>
      </c>
      <c r="D33" s="41">
        <f>D19+'Immobilien-Kalkulation'!B47</f>
        <v>363445</v>
      </c>
    </row>
    <row r="34" spans="1:4" ht="15" customHeight="1" x14ac:dyDescent="0.25">
      <c r="A34" s="14" t="s">
        <v>13</v>
      </c>
      <c r="B34" s="41">
        <f>B33-'Immobilien-Kalkulation'!B61</f>
        <v>370944.99999999994</v>
      </c>
      <c r="C34" s="41">
        <f>C33-'Immobilien-Kalkulation'!B61</f>
        <v>318445</v>
      </c>
      <c r="D34" s="41">
        <f>D33-'Immobilien-Kalkulation'!B61</f>
        <v>283445</v>
      </c>
    </row>
    <row r="35" spans="1:4" ht="15" customHeight="1" x14ac:dyDescent="0.25">
      <c r="A35" s="14" t="s">
        <v>170</v>
      </c>
      <c r="B35" s="41">
        <f>B34*(B21+B22)</f>
        <v>21236.601249999996</v>
      </c>
      <c r="C35" s="41">
        <f>C34*(C21+C22)</f>
        <v>17514.475000000002</v>
      </c>
      <c r="D35" s="41">
        <f>D34*(D21+D22)</f>
        <v>15164.307500000001</v>
      </c>
    </row>
    <row r="36" spans="1:4" ht="15" customHeight="1" x14ac:dyDescent="0.25">
      <c r="A36" s="14" t="s">
        <v>171</v>
      </c>
      <c r="B36" s="41">
        <f>B34*B21</f>
        <v>14930.536249999997</v>
      </c>
      <c r="C36" s="41">
        <f>C34*C21</f>
        <v>11145.575000000001</v>
      </c>
      <c r="D36" s="41">
        <f>D34*D21</f>
        <v>8928.5175000000017</v>
      </c>
    </row>
    <row r="37" spans="1:4" ht="15" customHeight="1" x14ac:dyDescent="0.25">
      <c r="A37" s="14" t="s">
        <v>172</v>
      </c>
      <c r="B37" s="41">
        <f>'Immobilien-Kalkulation'!B91*B19*'Immobilien-Kalkulation'!B93</f>
        <v>6440</v>
      </c>
      <c r="C37" s="41">
        <f>'Immobilien-Kalkulation'!B91*C19*'Immobilien-Kalkulation'!B93</f>
        <v>5600</v>
      </c>
      <c r="D37" s="41">
        <f>'Immobilien-Kalkulation'!B91*D19*'Immobilien-Kalkulation'!B93</f>
        <v>5040</v>
      </c>
    </row>
    <row r="38" spans="1:4" ht="15" customHeight="1" x14ac:dyDescent="0.25">
      <c r="A38" s="14" t="s">
        <v>173</v>
      </c>
      <c r="B38" s="41">
        <f>-(B32-B24-B36-B37)*'Immobilien-Kalkulation'!B95</f>
        <v>5879.8052249999982</v>
      </c>
      <c r="C38" s="41">
        <f>-(C32-C24-C36-C37)*'Immobilien-Kalkulation'!B95</f>
        <v>3026.3415</v>
      </c>
      <c r="D38" s="41">
        <f>-(D32-D24-D36-D37)*'Immobilien-Kalkulation'!B95</f>
        <v>1252.6573499999993</v>
      </c>
    </row>
    <row r="39" spans="1:4" ht="15" customHeight="1" x14ac:dyDescent="0.25">
      <c r="A39" s="14" t="s">
        <v>174</v>
      </c>
      <c r="B39" s="41">
        <f>MAX(0,IFERROR(B34*(1+B21)^'Immobilien-Kalkulation'!B11-B35*(((1+B21)^'Immobilien-Kalkulation'!B11-1)/B21),B34))</f>
        <v>295145.87684898899</v>
      </c>
      <c r="C39" s="41">
        <f>MAX(0,IFERROR(C34*(1+C21)^'Immobilien-Kalkulation'!B11-C35*(((1+C21)^'Immobilien-Kalkulation'!B11-1)/C21),C34))</f>
        <v>243728.93009943259</v>
      </c>
      <c r="D39" s="41">
        <f>MAX(0,IFERROR(D34*(1+D21)^'Immobilien-Kalkulation'!B11-D35*(((1+D21)^'Immobilien-Kalkulation'!B11-1)/D21),D34))</f>
        <v>211462.85358536674</v>
      </c>
    </row>
    <row r="40" spans="1:4" ht="15" customHeight="1" x14ac:dyDescent="0.25"/>
    <row r="41" spans="1:4" ht="15" customHeight="1" x14ac:dyDescent="0.25">
      <c r="A41" s="71" t="s">
        <v>175</v>
      </c>
      <c r="B41" s="71"/>
      <c r="C41" s="71"/>
      <c r="D41" s="71"/>
    </row>
    <row r="42" spans="1:4" ht="15" customHeight="1" x14ac:dyDescent="0.25">
      <c r="A42" s="8" t="s">
        <v>154</v>
      </c>
      <c r="B42" s="9" t="s">
        <v>155</v>
      </c>
      <c r="C42" s="9" t="s">
        <v>156</v>
      </c>
      <c r="D42" s="9" t="s">
        <v>157</v>
      </c>
    </row>
    <row r="43" spans="1:4" ht="15" customHeight="1" x14ac:dyDescent="0.25">
      <c r="A43" s="10" t="s">
        <v>25</v>
      </c>
      <c r="B43" s="53">
        <f>B32-B24-B35+B38</f>
        <v>-7985.7960249999978</v>
      </c>
      <c r="C43" s="53">
        <f>C32-C24-C35+C38</f>
        <v>-4948.1335000000017</v>
      </c>
      <c r="D43" s="53">
        <f>D32-D24-D35+D38</f>
        <v>-2925.6501499999977</v>
      </c>
    </row>
    <row r="44" spans="1:4" ht="15" customHeight="1" x14ac:dyDescent="0.25">
      <c r="A44" s="10" t="s">
        <v>4</v>
      </c>
      <c r="B44" s="54">
        <f>IFERROR(B32/B19,"—")</f>
        <v>2.5341614906832302E-2</v>
      </c>
      <c r="C44" s="54">
        <f>IFERROR(C32/C19,"—")</f>
        <v>3.4285714285714287E-2</v>
      </c>
      <c r="D44" s="54">
        <f>IFERROR(D32/D19,"—")</f>
        <v>4.1904761904761917E-2</v>
      </c>
    </row>
    <row r="45" spans="1:4" ht="15" customHeight="1" x14ac:dyDescent="0.25">
      <c r="A45" s="10" t="s">
        <v>5</v>
      </c>
      <c r="B45" s="54">
        <f>IFERROR((B32-B24)/B33,"—")</f>
        <v>1.6345674084422713E-2</v>
      </c>
      <c r="C45" s="54">
        <f>IFERROR((C32-C24)/C33,"—")</f>
        <v>2.3943078718518241E-2</v>
      </c>
      <c r="D45" s="54">
        <f>IFERROR((D32-D24)/D33,"—")</f>
        <v>3.0227407173024815E-2</v>
      </c>
    </row>
    <row r="46" spans="1:4" ht="15" customHeight="1" x14ac:dyDescent="0.25">
      <c r="A46" s="10" t="s">
        <v>22</v>
      </c>
      <c r="B46" s="54">
        <f>IFERROR(B43/'Immobilien-Kalkulation'!B61,"—")</f>
        <v>-9.9822450312499977E-2</v>
      </c>
      <c r="C46" s="54">
        <f>IFERROR(C43/'Immobilien-Kalkulation'!B61,"—")</f>
        <v>-6.1851668750000019E-2</v>
      </c>
      <c r="D46" s="54">
        <f>IFERROR(D43/'Immobilien-Kalkulation'!B61,"—")</f>
        <v>-3.657062687499997E-2</v>
      </c>
    </row>
    <row r="47" spans="1:4" ht="15" customHeight="1" x14ac:dyDescent="0.25">
      <c r="A47" s="10" t="s">
        <v>176</v>
      </c>
      <c r="B47" s="55">
        <f>(B24+B35)/12</f>
        <v>2005.4667708333329</v>
      </c>
      <c r="C47" s="55">
        <f>(C24+C35)/12</f>
        <v>1664.5395833333334</v>
      </c>
      <c r="D47" s="55">
        <f>(D24+D35)/12</f>
        <v>1448.192291666667</v>
      </c>
    </row>
    <row r="48" spans="1:4" ht="15" customHeight="1" x14ac:dyDescent="0.25">
      <c r="A48" s="10" t="s">
        <v>177</v>
      </c>
      <c r="B48" s="53">
        <f>B19*(1+B26)^'Immobilien-Kalkulation'!B11</f>
        <v>496691.33100468782</v>
      </c>
      <c r="C48" s="53">
        <f>C19*(1+C26)^'Immobilien-Kalkulation'!B11</f>
        <v>448029.59046872496</v>
      </c>
      <c r="D48" s="53">
        <f>D19*(1+D26)^'Immobilien-Kalkulation'!B11</f>
        <v>413170.07526483346</v>
      </c>
    </row>
    <row r="49" spans="1:4" ht="15" customHeight="1" x14ac:dyDescent="0.25">
      <c r="A49" s="10" t="s">
        <v>178</v>
      </c>
      <c r="B49" s="53">
        <f>B48-B39-'Immobilien-Kalkulation'!B61+B43*'Immobilien-Kalkulation'!B11</f>
        <v>41687.493905698851</v>
      </c>
      <c r="C49" s="53">
        <f>C48-C39-'Immobilien-Kalkulation'!B61+C43*'Immobilien-Kalkulation'!B11</f>
        <v>74819.325369292346</v>
      </c>
      <c r="D49" s="53">
        <f>D48-D39-'Immobilien-Kalkulation'!B61+D43*'Immobilien-Kalkulation'!B11</f>
        <v>92450.720179466734</v>
      </c>
    </row>
    <row r="50" spans="1:4" ht="15" customHeight="1" x14ac:dyDescent="0.25"/>
    <row r="51" spans="1:4" ht="15" customHeight="1" x14ac:dyDescent="0.25"/>
  </sheetData>
  <mergeCells count="6">
    <mergeCell ref="A41:D41"/>
    <mergeCell ref="A1:D1"/>
    <mergeCell ref="A2:D2"/>
    <mergeCell ref="A4:D4"/>
    <mergeCell ref="A17:D17"/>
    <mergeCell ref="A30:D30"/>
  </mergeCells>
  <pageMargins left="0.75" right="0.75" top="1" bottom="1" header="0.511811023622047" footer="0.511811023622047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B4C7DC"/>
  </sheetPr>
  <dimension ref="A1:H12"/>
  <sheetViews>
    <sheetView showGridLines="0" zoomScale="80" zoomScaleNormal="80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F6" sqref="F6"/>
    </sheetView>
  </sheetViews>
  <sheetFormatPr baseColWidth="10" defaultColWidth="8.7109375" defaultRowHeight="15" x14ac:dyDescent="0.25"/>
  <cols>
    <col min="1" max="1" width="36" style="1" customWidth="1"/>
    <col min="2" max="8" width="13.42578125" style="1" customWidth="1"/>
  </cols>
  <sheetData>
    <row r="1" spans="1:8" ht="30" customHeight="1" x14ac:dyDescent="0.25">
      <c r="A1" s="72" t="s">
        <v>179</v>
      </c>
      <c r="B1" s="72"/>
      <c r="C1" s="72"/>
      <c r="D1" s="72"/>
      <c r="E1" s="72"/>
      <c r="F1" s="72"/>
      <c r="G1" s="72"/>
      <c r="H1" s="72"/>
    </row>
    <row r="2" spans="1:8" ht="15" customHeight="1" x14ac:dyDescent="0.25">
      <c r="A2" s="73" t="s">
        <v>180</v>
      </c>
      <c r="B2" s="73"/>
      <c r="C2" s="73"/>
      <c r="D2" s="73"/>
      <c r="E2" s="73"/>
      <c r="F2" s="73"/>
      <c r="G2" s="73"/>
      <c r="H2" s="73"/>
    </row>
    <row r="3" spans="1:8" ht="15" customHeight="1" x14ac:dyDescent="0.25"/>
    <row r="4" spans="1:8" ht="15" customHeight="1" x14ac:dyDescent="0.25">
      <c r="A4" s="71" t="s">
        <v>181</v>
      </c>
      <c r="B4" s="71"/>
      <c r="C4" s="71"/>
      <c r="D4" s="71"/>
      <c r="E4" s="71"/>
      <c r="F4" s="71"/>
      <c r="G4" s="71"/>
      <c r="H4" s="71"/>
    </row>
    <row r="5" spans="1:8" ht="15" customHeight="1" x14ac:dyDescent="0.25">
      <c r="A5" s="14" t="s">
        <v>182</v>
      </c>
      <c r="B5" s="56">
        <v>-0.03</v>
      </c>
      <c r="C5" s="56">
        <v>-0.02</v>
      </c>
      <c r="D5" s="56">
        <v>-0.01</v>
      </c>
      <c r="E5" s="57">
        <v>0</v>
      </c>
      <c r="F5" s="56">
        <v>0.01</v>
      </c>
      <c r="G5" s="56">
        <v>0.02</v>
      </c>
      <c r="H5" s="56">
        <v>0.03</v>
      </c>
    </row>
    <row r="6" spans="1:8" ht="15" customHeight="1" x14ac:dyDescent="0.25">
      <c r="A6" s="10" t="s">
        <v>183</v>
      </c>
      <c r="B6" s="42">
        <f>'Immobilien-Kalkulation'!B63+B5</f>
        <v>5.0000000000000044E-3</v>
      </c>
      <c r="C6" s="42">
        <f>'Immobilien-Kalkulation'!B63+C5</f>
        <v>1.5000000000000003E-2</v>
      </c>
      <c r="D6" s="42">
        <f>'Immobilien-Kalkulation'!B63+D5</f>
        <v>2.5000000000000001E-2</v>
      </c>
      <c r="E6" s="57">
        <f>'Immobilien-Kalkulation'!B63+E5</f>
        <v>3.5000000000000003E-2</v>
      </c>
      <c r="F6" s="42">
        <f>'Immobilien-Kalkulation'!B63+F5</f>
        <v>4.5000000000000005E-2</v>
      </c>
      <c r="G6" s="42">
        <f>'Immobilien-Kalkulation'!B63+G5</f>
        <v>5.5000000000000007E-2</v>
      </c>
      <c r="H6" s="42">
        <f>'Immobilien-Kalkulation'!B63+H5</f>
        <v>6.5000000000000002E-2</v>
      </c>
    </row>
    <row r="7" spans="1:8" ht="15" customHeight="1" x14ac:dyDescent="0.25">
      <c r="A7" s="14" t="s">
        <v>26</v>
      </c>
      <c r="B7" s="58">
        <f>'Immobilien-Kalkulation'!B62*(B6+'Immobilien-Kalkulation'!B64)/12</f>
        <v>663.42708333333348</v>
      </c>
      <c r="C7" s="58">
        <f>'Immobilien-Kalkulation'!B62*(C6+'Immobilien-Kalkulation'!B64)/12</f>
        <v>928.79791666666677</v>
      </c>
      <c r="D7" s="58">
        <f>'Immobilien-Kalkulation'!B62*(D6+'Immobilien-Kalkulation'!B64)/12</f>
        <v>1194.16875</v>
      </c>
      <c r="E7" s="59">
        <f>'Immobilien-Kalkulation'!B62*(E6+'Immobilien-Kalkulation'!B64)/12</f>
        <v>1459.5395833333334</v>
      </c>
      <c r="F7" s="58">
        <f>'Immobilien-Kalkulation'!B62*(F6+'Immobilien-Kalkulation'!B64)/12</f>
        <v>1724.9104166666666</v>
      </c>
      <c r="G7" s="58">
        <f>'Immobilien-Kalkulation'!B62*(G6+'Immobilien-Kalkulation'!B64)/12</f>
        <v>1990.2812500000002</v>
      </c>
      <c r="H7" s="58">
        <f>'Immobilien-Kalkulation'!B62*(H6+'Immobilien-Kalkulation'!B64)/12</f>
        <v>2255.6520833333334</v>
      </c>
    </row>
    <row r="8" spans="1:8" ht="15" customHeight="1" x14ac:dyDescent="0.25">
      <c r="A8" s="14" t="s">
        <v>184</v>
      </c>
      <c r="B8" s="41">
        <f>'Immobilien-Kalkulation'!B62*B6</f>
        <v>1592.2250000000015</v>
      </c>
      <c r="C8" s="41">
        <f>'Immobilien-Kalkulation'!B62*C6</f>
        <v>4776.6750000000011</v>
      </c>
      <c r="D8" s="41">
        <f>'Immobilien-Kalkulation'!B62*D6</f>
        <v>7961.125</v>
      </c>
      <c r="E8" s="60">
        <f>'Immobilien-Kalkulation'!B62*E6</f>
        <v>11145.575000000001</v>
      </c>
      <c r="F8" s="41">
        <f>'Immobilien-Kalkulation'!B62*F6</f>
        <v>14330.025000000001</v>
      </c>
      <c r="G8" s="41">
        <f>'Immobilien-Kalkulation'!B62*G6</f>
        <v>17514.475000000002</v>
      </c>
      <c r="H8" s="41">
        <f>'Immobilien-Kalkulation'!B62*H6</f>
        <v>20698.924999999999</v>
      </c>
    </row>
    <row r="9" spans="1:8" ht="15" customHeight="1" x14ac:dyDescent="0.25">
      <c r="A9" s="14" t="s">
        <v>185</v>
      </c>
      <c r="B9" s="41">
        <f>'Immobilien-Kalkulation'!B73*12-'Immobilien-Kalkulation'!B88-B7*12-('Immobilien-Kalkulation'!B73*12-'Immobilien-Kalkulation'!B88-B8-'Immobilien-Kalkulation'!B94)*'Immobilien-Kalkulation'!B95</f>
        <v>592.80949999999871</v>
      </c>
      <c r="C9" s="41">
        <f>'Immobilien-Kalkulation'!B73*12-'Immobilien-Kalkulation'!B88-C7*12-('Immobilien-Kalkulation'!B73*12-'Immobilien-Kalkulation'!B88-C8-'Immobilien-Kalkulation'!B94)*'Immobilien-Kalkulation'!B95</f>
        <v>-1254.1715000000004</v>
      </c>
      <c r="D9" s="41">
        <f>'Immobilien-Kalkulation'!B73*12-'Immobilien-Kalkulation'!B88-D7*12-('Immobilien-Kalkulation'!B73*12-'Immobilien-Kalkulation'!B88-D8-'Immobilien-Kalkulation'!B94)*'Immobilien-Kalkulation'!B95</f>
        <v>-3101.1525000000015</v>
      </c>
      <c r="E9" s="60">
        <f>'Immobilien-Kalkulation'!B73*12-'Immobilien-Kalkulation'!B88-E7*12-('Immobilien-Kalkulation'!B73*12-'Immobilien-Kalkulation'!B88-E8-'Immobilien-Kalkulation'!B94)*'Immobilien-Kalkulation'!B95</f>
        <v>-4948.1335000000017</v>
      </c>
      <c r="F9" s="41">
        <f>'Immobilien-Kalkulation'!B73*12-'Immobilien-Kalkulation'!B88-F7*12-('Immobilien-Kalkulation'!B73*12-'Immobilien-Kalkulation'!B88-F8-'Immobilien-Kalkulation'!B94)*'Immobilien-Kalkulation'!B95</f>
        <v>-6795.1144999999988</v>
      </c>
      <c r="G9" s="41">
        <f>'Immobilien-Kalkulation'!B73*12-'Immobilien-Kalkulation'!B88-G7*12-('Immobilien-Kalkulation'!B73*12-'Immobilien-Kalkulation'!B88-G8-'Immobilien-Kalkulation'!B94)*'Immobilien-Kalkulation'!B95</f>
        <v>-8642.0955000000031</v>
      </c>
      <c r="H9" s="41">
        <f>'Immobilien-Kalkulation'!B73*12-'Immobilien-Kalkulation'!B88-H7*12-('Immobilien-Kalkulation'!B73*12-'Immobilien-Kalkulation'!B88-H8-'Immobilien-Kalkulation'!B94)*'Immobilien-Kalkulation'!B95</f>
        <v>-10489.076500000001</v>
      </c>
    </row>
    <row r="10" spans="1:8" ht="15" customHeight="1" x14ac:dyDescent="0.25">
      <c r="A10" s="14" t="s">
        <v>186</v>
      </c>
      <c r="B10" s="41">
        <f>IFERROR(B7*12*'Immobilien-Kalkulation'!B68-('Immobilien-Kalkulation'!B62-MAX(0,'Immobilien-Kalkulation'!B62*(1+B6)^'Immobilien-Kalkulation'!B68-B7*12*((1+B6)^'Immobilien-Kalkulation'!B68-1)/B6)),B7*12*'Immobilien-Kalkulation'!B68-'Immobilien-Kalkulation'!B62)</f>
        <v>33245.552409573313</v>
      </c>
      <c r="C10" s="41">
        <f>IFERROR(C7*12*'Immobilien-Kalkulation'!B68-('Immobilien-Kalkulation'!B62-MAX(0,'Immobilien-Kalkulation'!B62*(1+C6)^'Immobilien-Kalkulation'!B68-C7*12*((1+C6)^'Immobilien-Kalkulation'!B68-1)/C6)),C7*12*'Immobilien-Kalkulation'!B68-'Immobilien-Kalkulation'!B62)</f>
        <v>95287.142247722019</v>
      </c>
      <c r="D10" s="41">
        <f>IFERROR(D7*12*'Immobilien-Kalkulation'!B68-('Immobilien-Kalkulation'!B62-MAX(0,'Immobilien-Kalkulation'!B62*(1+D6)^'Immobilien-Kalkulation'!B68-D7*12*((1+D6)^'Immobilien-Kalkulation'!B68-1)/D6)),D7*12*'Immobilien-Kalkulation'!B68-'Immobilien-Kalkulation'!B62)</f>
        <v>150288.82382344006</v>
      </c>
      <c r="E10" s="60">
        <f>IFERROR(E7*12*'Immobilien-Kalkulation'!B68-('Immobilien-Kalkulation'!B62-MAX(0,'Immobilien-Kalkulation'!B62*(1+E6)^'Immobilien-Kalkulation'!B68-E7*12*((1+E6)^'Immobilien-Kalkulation'!B68-1)/E6)),E7*12*'Immobilien-Kalkulation'!B68-'Immobilien-Kalkulation'!B62)</f>
        <v>206989.25000000012</v>
      </c>
      <c r="F10" s="41">
        <f>IFERROR(F7*12*'Immobilien-Kalkulation'!B68-('Immobilien-Kalkulation'!B62-MAX(0,'Immobilien-Kalkulation'!B62*(1+F6)^'Immobilien-Kalkulation'!B68-F7*12*((1+F6)^'Immobilien-Kalkulation'!B68-1)/F6)),F7*12*'Immobilien-Kalkulation'!B68-'Immobilien-Kalkulation'!B62)</f>
        <v>302522.75</v>
      </c>
      <c r="G10" s="41">
        <f>IFERROR(G7*12*'Immobilien-Kalkulation'!B68-('Immobilien-Kalkulation'!B62-MAX(0,'Immobilien-Kalkulation'!B62*(1+G6)^'Immobilien-Kalkulation'!B68-G7*12*((1+G6)^'Immobilien-Kalkulation'!B68-1)/G6)),G7*12*'Immobilien-Kalkulation'!B68-'Immobilien-Kalkulation'!B62)</f>
        <v>398056.25000000012</v>
      </c>
      <c r="H10" s="41">
        <f>IFERROR(H7*12*'Immobilien-Kalkulation'!B68-('Immobilien-Kalkulation'!B62-MAX(0,'Immobilien-Kalkulation'!B62*(1+H6)^'Immobilien-Kalkulation'!B68-H7*12*((1+H6)^'Immobilien-Kalkulation'!B68-1)/H6)),H7*12*'Immobilien-Kalkulation'!B68-'Immobilien-Kalkulation'!B62)</f>
        <v>493589.75</v>
      </c>
    </row>
    <row r="11" spans="1:8" ht="15" customHeight="1" x14ac:dyDescent="0.25">
      <c r="A11" s="14" t="s">
        <v>176</v>
      </c>
      <c r="B11" s="58">
        <f>('Immobilien-Kalkulation'!B88+B7*12)/12</f>
        <v>868.42708333333348</v>
      </c>
      <c r="C11" s="58">
        <f>('Immobilien-Kalkulation'!B88+C7*12)/12</f>
        <v>1133.7979166666667</v>
      </c>
      <c r="D11" s="58">
        <f>('Immobilien-Kalkulation'!B88+D7*12)/12</f>
        <v>1399.16875</v>
      </c>
      <c r="E11" s="59">
        <f>('Immobilien-Kalkulation'!B88+E7*12)/12</f>
        <v>1664.5395833333334</v>
      </c>
      <c r="F11" s="58">
        <f>('Immobilien-Kalkulation'!B88+F7*12)/12</f>
        <v>1929.9104166666666</v>
      </c>
      <c r="G11" s="58">
        <f>('Immobilien-Kalkulation'!B88+G7*12)/12</f>
        <v>2195.2812500000005</v>
      </c>
      <c r="H11" s="58">
        <f>('Immobilien-Kalkulation'!B88+H7*12)/12</f>
        <v>2460.6520833333334</v>
      </c>
    </row>
    <row r="12" spans="1:8" ht="15" customHeight="1" x14ac:dyDescent="0.25"/>
  </sheetData>
  <mergeCells count="3">
    <mergeCell ref="A1:H1"/>
    <mergeCell ref="A2:H2"/>
    <mergeCell ref="A4:H4"/>
  </mergeCells>
  <pageMargins left="0.75" right="0.75" top="1" bottom="1" header="0.511811023622047" footer="0.511811023622047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B4C7DC"/>
  </sheetPr>
  <dimension ref="A1:B34"/>
  <sheetViews>
    <sheetView showGridLines="0" zoomScale="80" zoomScaleNormal="80" workbookViewId="0">
      <pane ySplit="3" topLeftCell="A4" activePane="bottomLeft" state="frozen"/>
      <selection pane="bottomLeft" activeCell="B15" sqref="B15"/>
    </sheetView>
  </sheetViews>
  <sheetFormatPr baseColWidth="10" defaultColWidth="8.7109375" defaultRowHeight="15" x14ac:dyDescent="0.25"/>
  <cols>
    <col min="1" max="1" width="42" style="1" customWidth="1"/>
    <col min="2" max="2" width="20" style="1" customWidth="1"/>
  </cols>
  <sheetData>
    <row r="1" spans="1:2" ht="30" customHeight="1" x14ac:dyDescent="0.25">
      <c r="A1" s="72" t="s">
        <v>187</v>
      </c>
      <c r="B1" s="72"/>
    </row>
    <row r="2" spans="1:2" ht="25.15" customHeight="1" x14ac:dyDescent="0.25">
      <c r="A2" s="73" t="s">
        <v>188</v>
      </c>
      <c r="B2" s="73"/>
    </row>
    <row r="3" spans="1:2" ht="15" customHeight="1" x14ac:dyDescent="0.25">
      <c r="A3" s="71" t="s">
        <v>189</v>
      </c>
      <c r="B3" s="71"/>
    </row>
    <row r="4" spans="1:2" ht="15" customHeight="1" x14ac:dyDescent="0.25">
      <c r="A4" s="14" t="s">
        <v>190</v>
      </c>
      <c r="B4" s="41">
        <f>'Immobilien-Kalkulation'!B13</f>
        <v>448029.59046872496</v>
      </c>
    </row>
    <row r="5" spans="1:2" ht="15" customHeight="1" x14ac:dyDescent="0.25">
      <c r="A5" s="14" t="s">
        <v>191</v>
      </c>
      <c r="B5" s="51">
        <v>0.05</v>
      </c>
    </row>
    <row r="6" spans="1:2" ht="15" customHeight="1" x14ac:dyDescent="0.25">
      <c r="A6" s="14" t="s">
        <v>33</v>
      </c>
      <c r="B6" s="61">
        <f>'Immobilien-Kalkulation'!B11</f>
        <v>10</v>
      </c>
    </row>
    <row r="7" spans="1:2" ht="15" customHeight="1" x14ac:dyDescent="0.25">
      <c r="A7" s="14" t="s">
        <v>192</v>
      </c>
      <c r="B7" s="62">
        <v>2025</v>
      </c>
    </row>
    <row r="8" spans="1:2" ht="15" customHeight="1" x14ac:dyDescent="0.25">
      <c r="A8" s="14" t="s">
        <v>109</v>
      </c>
      <c r="B8" s="63">
        <f>'Immobilien-Kalkulation'!B95</f>
        <v>0.42</v>
      </c>
    </row>
    <row r="9" spans="1:2" ht="15" customHeight="1" x14ac:dyDescent="0.25"/>
    <row r="10" spans="1:2" ht="15" customHeight="1" x14ac:dyDescent="0.25">
      <c r="A10" s="71" t="s">
        <v>193</v>
      </c>
      <c r="B10" s="71"/>
    </row>
    <row r="11" spans="1:2" ht="15" customHeight="1" x14ac:dyDescent="0.25">
      <c r="A11" s="14" t="s">
        <v>194</v>
      </c>
      <c r="B11" s="15">
        <f>'Immobilien-Kalkulation'!B49</f>
        <v>398445</v>
      </c>
    </row>
    <row r="12" spans="1:2" ht="15" customHeight="1" x14ac:dyDescent="0.25">
      <c r="A12" s="14" t="s">
        <v>195</v>
      </c>
      <c r="B12" s="41">
        <f>IFERROR(INDEX('Immobilien-Kalkulation'!$B$108:$AE$108,1,B6),"—")</f>
        <v>243728.93009943241</v>
      </c>
    </row>
    <row r="13" spans="1:2" ht="15" customHeight="1" x14ac:dyDescent="0.25">
      <c r="A13" s="14" t="s">
        <v>196</v>
      </c>
      <c r="B13" s="41">
        <f>B6*'Immobilien-Kalkulation'!B94</f>
        <v>56000</v>
      </c>
    </row>
    <row r="14" spans="1:2" ht="15" customHeight="1" x14ac:dyDescent="0.25">
      <c r="A14" s="14" t="s">
        <v>197</v>
      </c>
      <c r="B14" s="64">
        <f>B4-B11-B13</f>
        <v>-6415.4095312750433</v>
      </c>
    </row>
    <row r="15" spans="1:2" ht="15" customHeight="1" x14ac:dyDescent="0.25">
      <c r="A15" s="14" t="s">
        <v>198</v>
      </c>
      <c r="B15" s="65" t="str">
        <f>IF(B6&lt;10,"Ja — steuerpflichtig","Nein — steuerfrei")</f>
        <v>Nein — steuerfrei</v>
      </c>
    </row>
    <row r="16" spans="1:2" ht="15" customHeight="1" x14ac:dyDescent="0.25">
      <c r="A16" s="14" t="s">
        <v>199</v>
      </c>
      <c r="B16" s="64">
        <f>IF(B6&lt;10,MAX(0,B14)*B8,0)</f>
        <v>0</v>
      </c>
    </row>
    <row r="17" spans="1:2" ht="15" customHeight="1" x14ac:dyDescent="0.25">
      <c r="A17" s="14" t="s">
        <v>200</v>
      </c>
      <c r="B17" s="41">
        <f>B4*B5</f>
        <v>22401.47952343625</v>
      </c>
    </row>
    <row r="18" spans="1:2" ht="15" customHeight="1" x14ac:dyDescent="0.25">
      <c r="A18" s="14" t="s">
        <v>201</v>
      </c>
      <c r="B18" s="60">
        <f>B4-B17-B16-B12</f>
        <v>181899.18084585632</v>
      </c>
    </row>
    <row r="19" spans="1:2" ht="15" customHeight="1" x14ac:dyDescent="0.25">
      <c r="A19" s="14" t="s">
        <v>202</v>
      </c>
      <c r="B19" s="41">
        <f>IFERROR(SUM('Immobilien-Kalkulation'!$B$107:INDEX('Immobilien-Kalkulation'!$B$107:$AE$107,1,B6)),"—")</f>
        <v>-40420.99666250086</v>
      </c>
    </row>
    <row r="20" spans="1:2" ht="15" customHeight="1" x14ac:dyDescent="0.25">
      <c r="A20" s="14" t="s">
        <v>203</v>
      </c>
      <c r="B20" s="64">
        <f>B18+B19</f>
        <v>141478.18418335545</v>
      </c>
    </row>
    <row r="21" spans="1:2" ht="15" customHeight="1" x14ac:dyDescent="0.25"/>
    <row r="22" spans="1:2" ht="15" customHeight="1" x14ac:dyDescent="0.25">
      <c r="A22" s="71" t="s">
        <v>204</v>
      </c>
      <c r="B22" s="71"/>
    </row>
    <row r="23" spans="1:2" ht="15" customHeight="1" x14ac:dyDescent="0.25">
      <c r="A23" s="14" t="s">
        <v>205</v>
      </c>
      <c r="B23" s="15">
        <f>'Immobilien-Kalkulation'!B26*(1+'Immobilien-Kalkulation'!B12)^10</f>
        <v>448029.59046872496</v>
      </c>
    </row>
    <row r="24" spans="1:2" ht="15" customHeight="1" x14ac:dyDescent="0.25">
      <c r="A24" s="14" t="s">
        <v>206</v>
      </c>
      <c r="B24" s="41">
        <f>IFERROR(INDEX('Immobilien-Kalkulation'!$B$108:$AE$108,1,10),"—")</f>
        <v>243728.93009943241</v>
      </c>
    </row>
    <row r="25" spans="1:2" ht="15" customHeight="1" x14ac:dyDescent="0.25">
      <c r="A25" s="14" t="s">
        <v>207</v>
      </c>
      <c r="B25" s="41">
        <f>B23-B11-10*'Immobilien-Kalkulation'!B94</f>
        <v>-6415.4095312750433</v>
      </c>
    </row>
    <row r="26" spans="1:2" ht="15" customHeight="1" x14ac:dyDescent="0.25">
      <c r="A26" s="14" t="s">
        <v>208</v>
      </c>
      <c r="B26" s="41">
        <f>0</f>
        <v>0</v>
      </c>
    </row>
    <row r="27" spans="1:2" ht="15" customHeight="1" x14ac:dyDescent="0.25">
      <c r="A27" s="14" t="s">
        <v>209</v>
      </c>
      <c r="B27" s="41">
        <f>B23*B5</f>
        <v>22401.47952343625</v>
      </c>
    </row>
    <row r="28" spans="1:2" ht="15" customHeight="1" x14ac:dyDescent="0.25">
      <c r="A28" s="14" t="s">
        <v>210</v>
      </c>
      <c r="B28" s="64">
        <f>B23-B27-B26-B24</f>
        <v>181899.18084585632</v>
      </c>
    </row>
    <row r="29" spans="1:2" ht="15" customHeight="1" x14ac:dyDescent="0.25">
      <c r="A29" s="14" t="s">
        <v>211</v>
      </c>
      <c r="B29" s="41">
        <f>IFERROR(SUM('Immobilien-Kalkulation'!$B$107:INDEX('Immobilien-Kalkulation'!$B$107:$AE$107,1,10)),"—")</f>
        <v>-40420.99666250086</v>
      </c>
    </row>
    <row r="30" spans="1:2" ht="15" customHeight="1" x14ac:dyDescent="0.25">
      <c r="A30" s="14" t="s">
        <v>212</v>
      </c>
      <c r="B30" s="64">
        <f>B28+B29</f>
        <v>141478.18418335545</v>
      </c>
    </row>
    <row r="31" spans="1:2" ht="15" customHeight="1" x14ac:dyDescent="0.25">
      <c r="A31" s="14" t="s">
        <v>213</v>
      </c>
      <c r="B31" s="64">
        <f>B30-B20</f>
        <v>0</v>
      </c>
    </row>
    <row r="32" spans="1:2" ht="15" customHeight="1" x14ac:dyDescent="0.25"/>
    <row r="33" spans="1:2" ht="25.5" customHeight="1" x14ac:dyDescent="0.25">
      <c r="A33" s="77" t="str">
        <f>IF(B16&gt;0,"⚠ Spekulationssteuer fällig (Haltedauer &lt; 10 Jahre)","✓ Steuerfreier Verkauf (Haltedauer ≥ 10 Jahre)")</f>
        <v>✓ Steuerfreier Verkauf (Haltedauer ≥ 10 Jahre)</v>
      </c>
      <c r="B33" s="77"/>
    </row>
    <row r="34" spans="1:2" ht="15" customHeight="1" x14ac:dyDescent="0.25"/>
  </sheetData>
  <mergeCells count="6">
    <mergeCell ref="A33:B33"/>
    <mergeCell ref="A1:B1"/>
    <mergeCell ref="A2:B2"/>
    <mergeCell ref="A3:B3"/>
    <mergeCell ref="A10:B10"/>
    <mergeCell ref="A22:B22"/>
  </mergeCells>
  <conditionalFormatting sqref="A33:B33">
    <cfRule type="expression" dxfId="2" priority="2">
      <formula>$B$16&gt;0</formula>
    </cfRule>
    <cfRule type="expression" dxfId="1" priority="3">
      <formula>$B$16&lt;=0</formula>
    </cfRule>
  </conditionalFormatting>
  <pageMargins left="0.75" right="0.75" top="1" bottom="1" header="0.511811023622047" footer="0.511811023622047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B4C7DC"/>
  </sheetPr>
  <dimension ref="A1:G22"/>
  <sheetViews>
    <sheetView showGridLines="0" zoomScale="80" zoomScaleNormal="80" workbookViewId="0">
      <pane ySplit="13" topLeftCell="A14" activePane="bottomLeft" state="frozen"/>
      <selection pane="bottomLeft" activeCell="B5" sqref="B5"/>
    </sheetView>
  </sheetViews>
  <sheetFormatPr baseColWidth="10" defaultColWidth="8.7109375" defaultRowHeight="15" x14ac:dyDescent="0.25"/>
  <cols>
    <col min="1" max="1" width="26" style="1" customWidth="1"/>
    <col min="2" max="7" width="16" style="1" customWidth="1"/>
  </cols>
  <sheetData>
    <row r="1" spans="1:7" ht="30" customHeight="1" x14ac:dyDescent="0.25">
      <c r="A1" s="72" t="s">
        <v>214</v>
      </c>
      <c r="B1" s="72"/>
      <c r="C1" s="72"/>
      <c r="D1" s="72"/>
      <c r="E1" s="72"/>
      <c r="F1" s="72"/>
      <c r="G1" s="72"/>
    </row>
    <row r="2" spans="1:7" ht="15" customHeight="1" x14ac:dyDescent="0.25">
      <c r="A2" s="73" t="s">
        <v>215</v>
      </c>
      <c r="B2" s="73"/>
      <c r="C2" s="73"/>
      <c r="D2" s="73"/>
      <c r="E2" s="73"/>
      <c r="F2" s="73"/>
      <c r="G2" s="73"/>
    </row>
    <row r="3" spans="1:7" ht="15" customHeight="1" x14ac:dyDescent="0.25"/>
    <row r="4" spans="1:7" ht="15" customHeight="1" x14ac:dyDescent="0.25">
      <c r="A4" s="71" t="s">
        <v>216</v>
      </c>
      <c r="B4" s="71"/>
    </row>
    <row r="5" spans="1:7" ht="15" customHeight="1" x14ac:dyDescent="0.25">
      <c r="A5" s="14" t="s">
        <v>217</v>
      </c>
      <c r="B5" s="66">
        <v>80000</v>
      </c>
    </row>
    <row r="6" spans="1:7" ht="15" customHeight="1" x14ac:dyDescent="0.25">
      <c r="A6" s="14" t="s">
        <v>218</v>
      </c>
      <c r="B6" s="63">
        <f>IFERROR(B5/'Immobilien-Kalkulation'!B49,"—")</f>
        <v>0.20078053432719697</v>
      </c>
    </row>
    <row r="7" spans="1:7" ht="15" customHeight="1" x14ac:dyDescent="0.25">
      <c r="A7" s="14" t="s">
        <v>13</v>
      </c>
      <c r="B7" s="41">
        <f>'Immobilien-Kalkulation'!B49-B5</f>
        <v>318445</v>
      </c>
    </row>
    <row r="8" spans="1:7" ht="15" customHeight="1" x14ac:dyDescent="0.25">
      <c r="A8" s="14" t="s">
        <v>219</v>
      </c>
      <c r="B8" s="58">
        <f>B7*('Immobilien-Kalkulation'!B63+'Immobilien-Kalkulation'!B64)/12</f>
        <v>1459.5395833333334</v>
      </c>
    </row>
    <row r="9" spans="1:7" ht="15" customHeight="1" x14ac:dyDescent="0.25">
      <c r="A9" s="14" t="s">
        <v>20</v>
      </c>
      <c r="B9" s="64">
        <f>'Immobilien-Kalkulation'!B73*12-'Immobilien-Kalkulation'!B88-B8*12-('Immobilien-Kalkulation'!B73*12-'Immobilien-Kalkulation'!B88-B7*'Immobilien-Kalkulation'!B63-'Immobilien-Kalkulation'!B94)*'Immobilien-Kalkulation'!B95</f>
        <v>-4948.1335000000017</v>
      </c>
    </row>
    <row r="10" spans="1:7" ht="15" customHeight="1" x14ac:dyDescent="0.25"/>
    <row r="11" spans="1:7" ht="15" customHeight="1" x14ac:dyDescent="0.25">
      <c r="A11" s="71" t="s">
        <v>220</v>
      </c>
      <c r="B11" s="71"/>
      <c r="C11" s="71"/>
      <c r="D11" s="71"/>
      <c r="E11" s="71"/>
      <c r="F11" s="71"/>
      <c r="G11" s="71"/>
    </row>
    <row r="12" spans="1:7" ht="22.35" customHeight="1" x14ac:dyDescent="0.25">
      <c r="A12" s="8" t="s">
        <v>221</v>
      </c>
      <c r="B12" s="9" t="s">
        <v>79</v>
      </c>
      <c r="C12" s="9" t="s">
        <v>13</v>
      </c>
      <c r="D12" s="9" t="s">
        <v>222</v>
      </c>
      <c r="E12" s="9" t="s">
        <v>20</v>
      </c>
      <c r="F12" s="9" t="s">
        <v>30</v>
      </c>
      <c r="G12" s="9" t="s">
        <v>8</v>
      </c>
    </row>
    <row r="13" spans="1:7" ht="15" customHeight="1" x14ac:dyDescent="0.25">
      <c r="A13" s="51">
        <v>0.1</v>
      </c>
      <c r="B13" s="41">
        <f>A13*'Immobilien-Kalkulation'!B49</f>
        <v>39844.5</v>
      </c>
      <c r="C13" s="41">
        <f>'Immobilien-Kalkulation'!B49-B13</f>
        <v>358600.5</v>
      </c>
      <c r="D13" s="58">
        <f>C13*('Immobilien-Kalkulation'!B63+'Immobilien-Kalkulation'!B64)/12</f>
        <v>1643.5856250000004</v>
      </c>
      <c r="E13" s="41">
        <f>'Immobilien-Kalkulation'!B73*12-'Immobilien-Kalkulation'!B88-D13*12-('Immobilien-Kalkulation'!B73*12-'Immobilien-Kalkulation'!B88-C13*'Immobilien-Kalkulation'!B63-'Immobilien-Kalkulation'!B94)*'Immobilien-Kalkulation'!B95</f>
        <v>-6566.4001500000031</v>
      </c>
      <c r="F13" s="67">
        <f t="shared" ref="F13:F20" si="0">IFERROR(E13/B13,"—")</f>
        <v>-0.16480066634039839</v>
      </c>
      <c r="G13" s="58">
        <f>('Immobilien-Kalkulation'!B88+D13*12)/12</f>
        <v>1848.5856250000004</v>
      </c>
    </row>
    <row r="14" spans="1:7" ht="15" customHeight="1" x14ac:dyDescent="0.25">
      <c r="A14" s="51">
        <v>0.15</v>
      </c>
      <c r="B14" s="41">
        <f>A14*'Immobilien-Kalkulation'!B49</f>
        <v>59766.75</v>
      </c>
      <c r="C14" s="41">
        <f>'Immobilien-Kalkulation'!B49-B14</f>
        <v>338678.25</v>
      </c>
      <c r="D14" s="58">
        <f>C14*('Immobilien-Kalkulation'!B63+'Immobilien-Kalkulation'!B64)/12</f>
        <v>1552.2753125000002</v>
      </c>
      <c r="E14" s="41">
        <f>'Immobilien-Kalkulation'!B73*12-'Immobilien-Kalkulation'!B88-D14*12-('Immobilien-Kalkulation'!B73*12-'Immobilien-Kalkulation'!B88-C14*'Immobilien-Kalkulation'!B63-'Immobilien-Kalkulation'!B94)*'Immobilien-Kalkulation'!B95</f>
        <v>-5763.5334750000029</v>
      </c>
      <c r="F14" s="67">
        <f t="shared" si="0"/>
        <v>-9.6433777560265582E-2</v>
      </c>
      <c r="G14" s="58">
        <f>('Immobilien-Kalkulation'!B88+D14*12)/12</f>
        <v>1757.2753125000002</v>
      </c>
    </row>
    <row r="15" spans="1:7" ht="15" customHeight="1" x14ac:dyDescent="0.25">
      <c r="A15" s="51">
        <v>0.2</v>
      </c>
      <c r="B15" s="41">
        <f>A15*'Immobilien-Kalkulation'!B49</f>
        <v>79689</v>
      </c>
      <c r="C15" s="41">
        <f>'Immobilien-Kalkulation'!B49-B15</f>
        <v>318756</v>
      </c>
      <c r="D15" s="58">
        <f>C15*('Immobilien-Kalkulation'!B63+'Immobilien-Kalkulation'!B64)/12</f>
        <v>1460.9650000000001</v>
      </c>
      <c r="E15" s="41">
        <f>'Immobilien-Kalkulation'!B73*12-'Immobilien-Kalkulation'!B88-D15*12-('Immobilien-Kalkulation'!B73*12-'Immobilien-Kalkulation'!B88-C15*'Immobilien-Kalkulation'!B63-'Immobilien-Kalkulation'!B94)*'Immobilien-Kalkulation'!B95</f>
        <v>-4960.6668000000009</v>
      </c>
      <c r="F15" s="67">
        <f t="shared" si="0"/>
        <v>-6.2250333170199158E-2</v>
      </c>
      <c r="G15" s="58">
        <f>('Immobilien-Kalkulation'!B88+D15*12)/12</f>
        <v>1665.9650000000001</v>
      </c>
    </row>
    <row r="16" spans="1:7" ht="15" customHeight="1" x14ac:dyDescent="0.25">
      <c r="A16" s="51">
        <v>0.25</v>
      </c>
      <c r="B16" s="41">
        <f>A16*'Immobilien-Kalkulation'!B49</f>
        <v>99611.25</v>
      </c>
      <c r="C16" s="41">
        <f>'Immobilien-Kalkulation'!B49-B16</f>
        <v>298833.75</v>
      </c>
      <c r="D16" s="58">
        <f>C16*('Immobilien-Kalkulation'!B63+'Immobilien-Kalkulation'!B64)/12</f>
        <v>1369.6546875000001</v>
      </c>
      <c r="E16" s="41">
        <f>'Immobilien-Kalkulation'!B73*12-'Immobilien-Kalkulation'!B88-D16*12-('Immobilien-Kalkulation'!B73*12-'Immobilien-Kalkulation'!B88-C16*'Immobilien-Kalkulation'!B63-'Immobilien-Kalkulation'!B94)*'Immobilien-Kalkulation'!B95</f>
        <v>-4157.8001249999998</v>
      </c>
      <c r="F16" s="67">
        <f t="shared" si="0"/>
        <v>-4.1740266536159316E-2</v>
      </c>
      <c r="G16" s="58">
        <f>('Immobilien-Kalkulation'!B88+D16*12)/12</f>
        <v>1574.6546875000001</v>
      </c>
    </row>
    <row r="17" spans="1:7" ht="15" customHeight="1" x14ac:dyDescent="0.25">
      <c r="A17" s="51">
        <v>0.3</v>
      </c>
      <c r="B17" s="41">
        <f>A17*'Immobilien-Kalkulation'!B49</f>
        <v>119533.5</v>
      </c>
      <c r="C17" s="41">
        <f>'Immobilien-Kalkulation'!B49-B17</f>
        <v>278911.5</v>
      </c>
      <c r="D17" s="58">
        <f>C17*('Immobilien-Kalkulation'!B63+'Immobilien-Kalkulation'!B64)/12</f>
        <v>1278.3443750000001</v>
      </c>
      <c r="E17" s="41">
        <f>'Immobilien-Kalkulation'!B73*12-'Immobilien-Kalkulation'!B88-D17*12-('Immobilien-Kalkulation'!B73*12-'Immobilien-Kalkulation'!B88-C17*'Immobilien-Kalkulation'!B63-'Immobilien-Kalkulation'!B94)*'Immobilien-Kalkulation'!B95</f>
        <v>-3354.9334500000014</v>
      </c>
      <c r="F17" s="67">
        <f t="shared" si="0"/>
        <v>-2.8066888780132776E-2</v>
      </c>
      <c r="G17" s="58">
        <f>('Immobilien-Kalkulation'!B88+D17*12)/12</f>
        <v>1483.3443749999999</v>
      </c>
    </row>
    <row r="18" spans="1:7" ht="15" customHeight="1" x14ac:dyDescent="0.25">
      <c r="A18" s="51">
        <v>0.35</v>
      </c>
      <c r="B18" s="41">
        <f>A18*'Immobilien-Kalkulation'!B49</f>
        <v>139455.75</v>
      </c>
      <c r="C18" s="41">
        <f>'Immobilien-Kalkulation'!B49-B18</f>
        <v>258989.25</v>
      </c>
      <c r="D18" s="58">
        <f>C18*('Immobilien-Kalkulation'!B63+'Immobilien-Kalkulation'!B64)/12</f>
        <v>1187.0340625000001</v>
      </c>
      <c r="E18" s="41">
        <f>'Immobilien-Kalkulation'!B73*12-'Immobilien-Kalkulation'!B88-D18*12-('Immobilien-Kalkulation'!B73*12-'Immobilien-Kalkulation'!B88-C18*'Immobilien-Kalkulation'!B63-'Immobilien-Kalkulation'!B94)*'Immobilien-Kalkulation'!B95</f>
        <v>-2552.0667750000021</v>
      </c>
      <c r="F18" s="67">
        <f t="shared" si="0"/>
        <v>-1.8300190382970958E-2</v>
      </c>
      <c r="G18" s="58">
        <f>('Immobilien-Kalkulation'!B88+D18*12)/12</f>
        <v>1392.0340625000001</v>
      </c>
    </row>
    <row r="19" spans="1:7" ht="15" customHeight="1" x14ac:dyDescent="0.25">
      <c r="A19" s="51">
        <v>0.4</v>
      </c>
      <c r="B19" s="41">
        <f>A19*'Immobilien-Kalkulation'!B49</f>
        <v>159378</v>
      </c>
      <c r="C19" s="41">
        <f>'Immobilien-Kalkulation'!B49-B19</f>
        <v>239067</v>
      </c>
      <c r="D19" s="58">
        <f>C19*('Immobilien-Kalkulation'!B63+'Immobilien-Kalkulation'!B64)/12</f>
        <v>1095.7237500000001</v>
      </c>
      <c r="E19" s="41">
        <f>'Immobilien-Kalkulation'!B73*12-'Immobilien-Kalkulation'!B88-D19*12-('Immobilien-Kalkulation'!B73*12-'Immobilien-Kalkulation'!B88-C19*'Immobilien-Kalkulation'!B63-'Immobilien-Kalkulation'!B94)*'Immobilien-Kalkulation'!B95</f>
        <v>-1749.2001000000009</v>
      </c>
      <c r="F19" s="67">
        <f t="shared" si="0"/>
        <v>-1.097516658509958E-2</v>
      </c>
      <c r="G19" s="58">
        <f>('Immobilien-Kalkulation'!B88+D19*12)/12</f>
        <v>1300.7237500000001</v>
      </c>
    </row>
    <row r="20" spans="1:7" ht="15" customHeight="1" x14ac:dyDescent="0.25">
      <c r="A20" s="51">
        <v>0.5</v>
      </c>
      <c r="B20" s="41">
        <f>A20*'Immobilien-Kalkulation'!B49</f>
        <v>199222.5</v>
      </c>
      <c r="C20" s="41">
        <f>'Immobilien-Kalkulation'!B49-B20</f>
        <v>199222.5</v>
      </c>
      <c r="D20" s="58">
        <f>C20*('Immobilien-Kalkulation'!B63+'Immobilien-Kalkulation'!B64)/12</f>
        <v>913.10312500000009</v>
      </c>
      <c r="E20" s="41">
        <f>'Immobilien-Kalkulation'!B73*12-'Immobilien-Kalkulation'!B88-D20*12-('Immobilien-Kalkulation'!B73*12-'Immobilien-Kalkulation'!B88-C20*'Immobilien-Kalkulation'!B63-'Immobilien-Kalkulation'!B94)*'Immobilien-Kalkulation'!B95</f>
        <v>-143.46675000000096</v>
      </c>
      <c r="F20" s="67">
        <f t="shared" si="0"/>
        <v>-7.2013326807966445E-4</v>
      </c>
      <c r="G20" s="58">
        <f>('Immobilien-Kalkulation'!B88+D20*12)/12</f>
        <v>1118.1031250000001</v>
      </c>
    </row>
    <row r="21" spans="1:7" ht="15" customHeight="1" x14ac:dyDescent="0.25"/>
    <row r="22" spans="1:7" ht="15" customHeight="1" x14ac:dyDescent="0.25"/>
  </sheetData>
  <mergeCells count="4">
    <mergeCell ref="A1:G1"/>
    <mergeCell ref="A2:G2"/>
    <mergeCell ref="A4:B4"/>
    <mergeCell ref="A11:G11"/>
  </mergeCells>
  <conditionalFormatting sqref="A13:G20">
    <cfRule type="expression" dxfId="0" priority="2">
      <formula>AND($E13&gt;0,COUNTIF($E$13:$E13,"&gt;0")=1)</formula>
    </cfRule>
  </conditionalFormatting>
  <pageMargins left="0.75" right="0.75" top="1" bottom="1" header="0.511811023622047" footer="0.511811023622047"/>
  <pageSetup paperSize="9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B4C7DC"/>
  </sheetPr>
  <dimension ref="A1:AE29"/>
  <sheetViews>
    <sheetView showGridLines="0" zoomScale="80" zoomScaleNormal="80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F44" sqref="F44"/>
    </sheetView>
  </sheetViews>
  <sheetFormatPr baseColWidth="10" defaultColWidth="8.7109375" defaultRowHeight="15" x14ac:dyDescent="0.25"/>
  <cols>
    <col min="1" max="1" width="38" style="1" customWidth="1"/>
    <col min="2" max="31" width="11" style="1" customWidth="1"/>
  </cols>
  <sheetData>
    <row r="1" spans="1:31" ht="30" customHeight="1" x14ac:dyDescent="0.25">
      <c r="A1" s="72" t="s">
        <v>223</v>
      </c>
      <c r="B1" s="72"/>
      <c r="C1" s="72"/>
      <c r="D1" s="72"/>
      <c r="E1" s="72"/>
      <c r="F1" s="72"/>
      <c r="G1" s="72"/>
      <c r="H1" s="72"/>
      <c r="I1" s="72"/>
      <c r="J1" s="72"/>
      <c r="K1" s="72"/>
    </row>
    <row r="2" spans="1:31" ht="15" customHeight="1" x14ac:dyDescent="0.25">
      <c r="A2" s="73" t="s">
        <v>224</v>
      </c>
      <c r="B2" s="73"/>
      <c r="C2" s="73"/>
      <c r="D2" s="73"/>
      <c r="E2" s="73"/>
      <c r="F2" s="73"/>
      <c r="G2" s="73"/>
      <c r="H2" s="73"/>
      <c r="I2" s="73"/>
      <c r="J2" s="73"/>
      <c r="K2" s="73"/>
    </row>
    <row r="3" spans="1:31" ht="15" customHeight="1" x14ac:dyDescent="0.25">
      <c r="A3" s="14" t="s">
        <v>225</v>
      </c>
      <c r="B3" s="68">
        <v>2.5000000000000001E-2</v>
      </c>
    </row>
    <row r="4" spans="1:31" ht="15" customHeight="1" x14ac:dyDescent="0.25"/>
    <row r="5" spans="1:31" ht="15" customHeight="1" x14ac:dyDescent="0.25">
      <c r="A5" s="71" t="s">
        <v>226</v>
      </c>
      <c r="B5" s="71"/>
      <c r="C5" s="71"/>
      <c r="D5" s="71"/>
      <c r="E5" s="71"/>
      <c r="F5" s="71"/>
      <c r="G5" s="71"/>
      <c r="H5" s="71"/>
      <c r="I5" s="71"/>
      <c r="J5" s="71"/>
      <c r="K5" s="71"/>
    </row>
    <row r="6" spans="1:31" ht="15" customHeight="1" x14ac:dyDescent="0.25">
      <c r="A6" s="8" t="s">
        <v>111</v>
      </c>
      <c r="B6" s="9" t="s">
        <v>112</v>
      </c>
      <c r="C6" s="9" t="s">
        <v>113</v>
      </c>
      <c r="D6" s="9" t="s">
        <v>114</v>
      </c>
      <c r="E6" s="9" t="s">
        <v>115</v>
      </c>
      <c r="F6" s="9" t="s">
        <v>116</v>
      </c>
      <c r="G6" s="9" t="s">
        <v>117</v>
      </c>
      <c r="H6" s="9" t="s">
        <v>118</v>
      </c>
      <c r="I6" s="9" t="s">
        <v>119</v>
      </c>
      <c r="J6" s="9" t="s">
        <v>120</v>
      </c>
      <c r="K6" s="9" t="s">
        <v>121</v>
      </c>
      <c r="L6" s="9" t="s">
        <v>122</v>
      </c>
      <c r="M6" s="9" t="s">
        <v>123</v>
      </c>
      <c r="N6" s="9" t="s">
        <v>124</v>
      </c>
      <c r="O6" s="9" t="s">
        <v>125</v>
      </c>
      <c r="P6" s="9" t="s">
        <v>126</v>
      </c>
      <c r="Q6" s="9" t="s">
        <v>127</v>
      </c>
      <c r="R6" s="9" t="s">
        <v>128</v>
      </c>
      <c r="S6" s="9" t="s">
        <v>129</v>
      </c>
      <c r="T6" s="9" t="s">
        <v>130</v>
      </c>
      <c r="U6" s="9" t="s">
        <v>131</v>
      </c>
      <c r="V6" s="9" t="s">
        <v>132</v>
      </c>
      <c r="W6" s="9" t="s">
        <v>133</v>
      </c>
      <c r="X6" s="9" t="s">
        <v>134</v>
      </c>
      <c r="Y6" s="9" t="s">
        <v>135</v>
      </c>
      <c r="Z6" s="9" t="s">
        <v>136</v>
      </c>
      <c r="AA6" s="9" t="s">
        <v>137</v>
      </c>
      <c r="AB6" s="9" t="s">
        <v>138</v>
      </c>
      <c r="AC6" s="9" t="s">
        <v>139</v>
      </c>
      <c r="AD6" s="9" t="s">
        <v>140</v>
      </c>
      <c r="AE6" s="9" t="s">
        <v>141</v>
      </c>
    </row>
    <row r="7" spans="1:31" ht="15" customHeight="1" x14ac:dyDescent="0.25">
      <c r="A7" s="14" t="s">
        <v>227</v>
      </c>
      <c r="B7" s="15">
        <f>'Immobilien-Kalkulation'!B107</f>
        <v>-4948.1335000000017</v>
      </c>
      <c r="C7" s="15">
        <f>'Immobilien-Kalkulation'!C107</f>
        <v>-4757.3335000000025</v>
      </c>
      <c r="D7" s="15">
        <f>'Immobilien-Kalkulation'!D107</f>
        <v>-4562.7175000000007</v>
      </c>
      <c r="E7" s="15">
        <f>'Immobilien-Kalkulation'!E107</f>
        <v>-4364.2091799999998</v>
      </c>
      <c r="F7" s="15">
        <f>'Immobilien-Kalkulation'!F107</f>
        <v>-4161.7306936000004</v>
      </c>
      <c r="G7" s="15">
        <f>'Immobilien-Kalkulation'!G107</f>
        <v>-3955.2026374719994</v>
      </c>
      <c r="H7" s="15">
        <f>'Immobilien-Kalkulation'!H107</f>
        <v>-3744.54402022144</v>
      </c>
      <c r="I7" s="15">
        <f>'Immobilien-Kalkulation'!I107</f>
        <v>-3529.6722306258694</v>
      </c>
      <c r="J7" s="15">
        <f>'Immobilien-Kalkulation'!J107</f>
        <v>-3310.5030052383868</v>
      </c>
      <c r="K7" s="15">
        <f>'Immobilien-Kalkulation'!K107</f>
        <v>-3086.9503953431526</v>
      </c>
      <c r="L7" s="15">
        <f>'Immobilien-Kalkulation'!L107</f>
        <v>-2858.9267332500172</v>
      </c>
      <c r="M7" s="15">
        <f>'Immobilien-Kalkulation'!M107</f>
        <v>-2626.3425979150165</v>
      </c>
      <c r="N7" s="15">
        <f>'Immobilien-Kalkulation'!N107</f>
        <v>-2389.1067798733152</v>
      </c>
      <c r="O7" s="15">
        <f>'Immobilien-Kalkulation'!O107</f>
        <v>-2147.1262454707817</v>
      </c>
      <c r="P7" s="15">
        <f>'Immobilien-Kalkulation'!P107</f>
        <v>-1900.3061003801963</v>
      </c>
      <c r="Q7" s="15">
        <f>'Immobilien-Kalkulation'!Q107</f>
        <v>-1648.5495523878003</v>
      </c>
      <c r="R7" s="15">
        <f>'Immobilien-Kalkulation'!R107</f>
        <v>-1391.7578734355543</v>
      </c>
      <c r="S7" s="15">
        <f>'Immobilien-Kalkulation'!S107</f>
        <v>-1129.8303609042655</v>
      </c>
      <c r="T7" s="15">
        <f>'Immobilien-Kalkulation'!T107</f>
        <v>-862.66429812235265</v>
      </c>
      <c r="U7" s="15">
        <f>'Immobilien-Kalkulation'!U107</f>
        <v>-590.15491408480057</v>
      </c>
      <c r="V7" s="15">
        <f>'Immobilien-Kalkulation'!V107</f>
        <v>-312.19534236649679</v>
      </c>
      <c r="W7" s="15">
        <f>'Immobilien-Kalkulation'!W107</f>
        <v>-28.676579213827154</v>
      </c>
      <c r="X7" s="15">
        <f>'Immobilien-Kalkulation'!X107</f>
        <v>260.51255920189533</v>
      </c>
      <c r="Y7" s="15">
        <f>'Immobilien-Kalkulation'!Y107</f>
        <v>555.48548038593572</v>
      </c>
      <c r="Z7" s="15">
        <f>'Immobilien-Kalkulation'!Z107</f>
        <v>856.35785999365498</v>
      </c>
      <c r="AA7" s="15">
        <f>'Immobilien-Kalkulation'!AA107</f>
        <v>1163.2476871935301</v>
      </c>
      <c r="AB7" s="15">
        <f>'Immobilien-Kalkulation'!AB107</f>
        <v>1476.2753109374003</v>
      </c>
      <c r="AC7" s="15">
        <f>'Immobilien-Kalkulation'!AC107</f>
        <v>1795.5634871561483</v>
      </c>
      <c r="AD7" s="15">
        <f>'Immobilien-Kalkulation'!AD107</f>
        <v>2121.2374268992694</v>
      </c>
      <c r="AE7" s="15">
        <f>'Immobilien-Kalkulation'!AE107</f>
        <v>2453.424845437255</v>
      </c>
    </row>
    <row r="8" spans="1:31" ht="15" customHeight="1" x14ac:dyDescent="0.25">
      <c r="A8" s="14" t="s">
        <v>228</v>
      </c>
      <c r="B8" s="69">
        <f t="shared" ref="B8:AE8" si="0">1/(1+$B$3)^(COLUMN()-1)</f>
        <v>0.97560975609756106</v>
      </c>
      <c r="C8" s="69">
        <f t="shared" si="0"/>
        <v>0.95181439619274244</v>
      </c>
      <c r="D8" s="69">
        <f t="shared" si="0"/>
        <v>0.92859941091974885</v>
      </c>
      <c r="E8" s="69">
        <f t="shared" si="0"/>
        <v>0.90595064479975507</v>
      </c>
      <c r="F8" s="69">
        <f t="shared" si="0"/>
        <v>0.88385428760951712</v>
      </c>
      <c r="G8" s="69">
        <f t="shared" si="0"/>
        <v>0.86229686596050459</v>
      </c>
      <c r="H8" s="69">
        <f t="shared" si="0"/>
        <v>0.84126523508341911</v>
      </c>
      <c r="I8" s="69">
        <f t="shared" si="0"/>
        <v>0.82074657081309188</v>
      </c>
      <c r="J8" s="69">
        <f t="shared" si="0"/>
        <v>0.8007283617688703</v>
      </c>
      <c r="K8" s="69">
        <f t="shared" si="0"/>
        <v>0.78119840172572708</v>
      </c>
      <c r="L8" s="69">
        <f t="shared" si="0"/>
        <v>0.7621447821714411</v>
      </c>
      <c r="M8" s="69">
        <f t="shared" si="0"/>
        <v>0.74355588504530845</v>
      </c>
      <c r="N8" s="69">
        <f t="shared" si="0"/>
        <v>0.72542037565395945</v>
      </c>
      <c r="O8" s="69">
        <f t="shared" si="0"/>
        <v>0.70772719575996057</v>
      </c>
      <c r="P8" s="69">
        <f t="shared" si="0"/>
        <v>0.69046555683898581</v>
      </c>
      <c r="Q8" s="69">
        <f t="shared" si="0"/>
        <v>0.67362493350144959</v>
      </c>
      <c r="R8" s="69">
        <f t="shared" si="0"/>
        <v>0.65719505707458503</v>
      </c>
      <c r="S8" s="69">
        <f t="shared" si="0"/>
        <v>0.64116590934105855</v>
      </c>
      <c r="T8" s="69">
        <f t="shared" si="0"/>
        <v>0.62552771643030103</v>
      </c>
      <c r="U8" s="69">
        <f t="shared" si="0"/>
        <v>0.61027094285883032</v>
      </c>
      <c r="V8" s="69">
        <f t="shared" si="0"/>
        <v>0.59538628571593211</v>
      </c>
      <c r="W8" s="69">
        <f t="shared" si="0"/>
        <v>0.5808646689911533</v>
      </c>
      <c r="X8" s="69">
        <f t="shared" si="0"/>
        <v>0.5666972380401496</v>
      </c>
      <c r="Y8" s="69">
        <f t="shared" si="0"/>
        <v>0.55287535418551181</v>
      </c>
      <c r="Z8" s="69">
        <f t="shared" si="0"/>
        <v>0.53939058944927987</v>
      </c>
      <c r="AA8" s="69">
        <f t="shared" si="0"/>
        <v>0.52623472141393168</v>
      </c>
      <c r="AB8" s="69">
        <f t="shared" si="0"/>
        <v>0.51339972820871382</v>
      </c>
      <c r="AC8" s="69">
        <f t="shared" si="0"/>
        <v>0.50087778361825741</v>
      </c>
      <c r="AD8" s="69">
        <f t="shared" si="0"/>
        <v>0.48866125231049495</v>
      </c>
      <c r="AE8" s="69">
        <f t="shared" si="0"/>
        <v>0.47674268518097085</v>
      </c>
    </row>
    <row r="9" spans="1:31" ht="15" customHeight="1" x14ac:dyDescent="0.25">
      <c r="A9" s="14" t="s">
        <v>229</v>
      </c>
      <c r="B9" s="41">
        <f t="shared" ref="B9:AE9" si="1">B7*B8</f>
        <v>-4827.4473170731726</v>
      </c>
      <c r="C9" s="41">
        <f t="shared" si="1"/>
        <v>-4528.0985127900085</v>
      </c>
      <c r="D9" s="41">
        <f t="shared" si="1"/>
        <v>-4236.9367826932294</v>
      </c>
      <c r="E9" s="41">
        <f t="shared" si="1"/>
        <v>-3953.7581206620102</v>
      </c>
      <c r="F9" s="41">
        <f t="shared" si="1"/>
        <v>-3678.3635174144902</v>
      </c>
      <c r="G9" s="41">
        <f t="shared" si="1"/>
        <v>-3410.558838530827</v>
      </c>
      <c r="H9" s="41">
        <f t="shared" si="1"/>
        <v>-3150.154705451801</v>
      </c>
      <c r="I9" s="41">
        <f t="shared" si="1"/>
        <v>-2896.9663793803788</v>
      </c>
      <c r="J9" s="41">
        <f t="shared" si="1"/>
        <v>-2650.8136480154553</v>
      </c>
      <c r="K9" s="41">
        <f t="shared" si="1"/>
        <v>-2411.5207150486722</v>
      </c>
      <c r="L9" s="41">
        <f t="shared" si="1"/>
        <v>-2178.9160923569439</v>
      </c>
      <c r="M9" s="41">
        <f t="shared" si="1"/>
        <v>-1952.8324948248949</v>
      </c>
      <c r="N9" s="41">
        <f t="shared" si="1"/>
        <v>-1733.1067377331217</v>
      </c>
      <c r="O9" s="41">
        <f t="shared" si="1"/>
        <v>-1519.579636649649</v>
      </c>
      <c r="P9" s="41">
        <f t="shared" si="1"/>
        <v>-1312.0959097635339</v>
      </c>
      <c r="Q9" s="41">
        <f t="shared" si="1"/>
        <v>-1110.5040826010766</v>
      </c>
      <c r="R9" s="41">
        <f t="shared" si="1"/>
        <v>-914.65639506648222</v>
      </c>
      <c r="S9" s="41">
        <f t="shared" si="1"/>
        <v>-724.40871075031976</v>
      </c>
      <c r="T9" s="41">
        <f t="shared" si="1"/>
        <v>-539.62042845042367</v>
      </c>
      <c r="U9" s="41">
        <f t="shared" si="1"/>
        <v>-360.15439585130326</v>
      </c>
      <c r="V9" s="41">
        <f t="shared" si="1"/>
        <v>-185.87682530940231</v>
      </c>
      <c r="W9" s="41">
        <f t="shared" si="1"/>
        <v>-16.657211692838295</v>
      </c>
      <c r="X9" s="41">
        <f t="shared" si="1"/>
        <v>147.63174777448504</v>
      </c>
      <c r="Y9" s="41">
        <f t="shared" si="1"/>
        <v>307.1142317132834</v>
      </c>
      <c r="Z9" s="41">
        <f t="shared" si="1"/>
        <v>461.91137088150145</v>
      </c>
      <c r="AA9" s="41">
        <f t="shared" si="1"/>
        <v>612.14132260568761</v>
      </c>
      <c r="AB9" s="41">
        <f t="shared" si="1"/>
        <v>757.91934339649583</v>
      </c>
      <c r="AC9" s="41">
        <f t="shared" si="1"/>
        <v>899.35785979264097</v>
      </c>
      <c r="AD9" s="41">
        <f t="shared" si="1"/>
        <v>1036.566537476489</v>
      </c>
      <c r="AE9" s="41">
        <f t="shared" si="1"/>
        <v>1169.6523487034653</v>
      </c>
    </row>
    <row r="10" spans="1:31" ht="15" customHeight="1" x14ac:dyDescent="0.25">
      <c r="A10" s="14" t="s">
        <v>230</v>
      </c>
      <c r="B10" s="15">
        <f>'Immobilien-Kalkulation'!B100</f>
        <v>12000</v>
      </c>
      <c r="C10" s="15">
        <f>'Immobilien-Kalkulation'!C100</f>
        <v>12240</v>
      </c>
      <c r="D10" s="15">
        <f>'Immobilien-Kalkulation'!D100</f>
        <v>12484.800000000001</v>
      </c>
      <c r="E10" s="15">
        <f>'Immobilien-Kalkulation'!E100</f>
        <v>12734.496000000001</v>
      </c>
      <c r="F10" s="15">
        <f>'Immobilien-Kalkulation'!F100</f>
        <v>12989.185920000002</v>
      </c>
      <c r="G10" s="15">
        <f>'Immobilien-Kalkulation'!G100</f>
        <v>13248.969638400002</v>
      </c>
      <c r="H10" s="15">
        <f>'Immobilien-Kalkulation'!H100</f>
        <v>13513.949031168002</v>
      </c>
      <c r="I10" s="15">
        <f>'Immobilien-Kalkulation'!I100</f>
        <v>13784.228011791361</v>
      </c>
      <c r="J10" s="15">
        <f>'Immobilien-Kalkulation'!J100</f>
        <v>14059.91257202719</v>
      </c>
      <c r="K10" s="15">
        <f>'Immobilien-Kalkulation'!K100</f>
        <v>14341.110823467734</v>
      </c>
      <c r="L10" s="15">
        <f>'Immobilien-Kalkulation'!L100</f>
        <v>14627.933039937088</v>
      </c>
      <c r="M10" s="15">
        <f>'Immobilien-Kalkulation'!M100</f>
        <v>14920.491700735831</v>
      </c>
      <c r="N10" s="15">
        <f>'Immobilien-Kalkulation'!N100</f>
        <v>15218.901534750548</v>
      </c>
      <c r="O10" s="15">
        <f>'Immobilien-Kalkulation'!O100</f>
        <v>15523.27956544556</v>
      </c>
      <c r="P10" s="15">
        <f>'Immobilien-Kalkulation'!P100</f>
        <v>15833.745156754472</v>
      </c>
      <c r="Q10" s="15">
        <f>'Immobilien-Kalkulation'!Q100</f>
        <v>16150.420059889562</v>
      </c>
      <c r="R10" s="15">
        <f>'Immobilien-Kalkulation'!R100</f>
        <v>16473.428461087355</v>
      </c>
      <c r="S10" s="15">
        <f>'Immobilien-Kalkulation'!S100</f>
        <v>16802.897030309101</v>
      </c>
      <c r="T10" s="15">
        <f>'Immobilien-Kalkulation'!T100</f>
        <v>17138.954970915282</v>
      </c>
      <c r="U10" s="15">
        <f>'Immobilien-Kalkulation'!U100</f>
        <v>17481.734070333587</v>
      </c>
      <c r="V10" s="15">
        <f>'Immobilien-Kalkulation'!V100</f>
        <v>17831.368751740258</v>
      </c>
      <c r="W10" s="15">
        <f>'Immobilien-Kalkulation'!W100</f>
        <v>18187.996126775062</v>
      </c>
      <c r="X10" s="15">
        <f>'Immobilien-Kalkulation'!X100</f>
        <v>18551.756049310563</v>
      </c>
      <c r="Y10" s="15">
        <f>'Immobilien-Kalkulation'!Y100</f>
        <v>18922.791170296776</v>
      </c>
      <c r="Z10" s="15">
        <f>'Immobilien-Kalkulation'!Z100</f>
        <v>19301.246993702713</v>
      </c>
      <c r="AA10" s="15">
        <f>'Immobilien-Kalkulation'!AA100</f>
        <v>19687.271933576769</v>
      </c>
      <c r="AB10" s="15">
        <f>'Immobilien-Kalkulation'!AB100</f>
        <v>20081.017372248305</v>
      </c>
      <c r="AC10" s="15">
        <f>'Immobilien-Kalkulation'!AC100</f>
        <v>20482.63771969327</v>
      </c>
      <c r="AD10" s="15">
        <f>'Immobilien-Kalkulation'!AD100</f>
        <v>20892.290474087134</v>
      </c>
      <c r="AE10" s="15">
        <f>'Immobilien-Kalkulation'!AE100</f>
        <v>21310.136283568878</v>
      </c>
    </row>
    <row r="11" spans="1:31" ht="15" customHeight="1" x14ac:dyDescent="0.25">
      <c r="A11" s="14" t="s">
        <v>231</v>
      </c>
      <c r="B11" s="41">
        <f t="shared" ref="B11:AE11" si="2">B10*B8</f>
        <v>11707.317073170732</v>
      </c>
      <c r="C11" s="41">
        <f t="shared" si="2"/>
        <v>11650.208209399167</v>
      </c>
      <c r="D11" s="41">
        <f t="shared" si="2"/>
        <v>11593.377925450881</v>
      </c>
      <c r="E11" s="41">
        <f t="shared" si="2"/>
        <v>11536.824862399902</v>
      </c>
      <c r="F11" s="41">
        <f t="shared" si="2"/>
        <v>11480.547667949171</v>
      </c>
      <c r="G11" s="41">
        <f t="shared" si="2"/>
        <v>11424.544996398201</v>
      </c>
      <c r="H11" s="41">
        <f t="shared" si="2"/>
        <v>11368.815508610893</v>
      </c>
      <c r="I11" s="41">
        <f t="shared" si="2"/>
        <v>11313.357871983524</v>
      </c>
      <c r="J11" s="41">
        <f t="shared" si="2"/>
        <v>11258.170760412875</v>
      </c>
      <c r="K11" s="41">
        <f t="shared" si="2"/>
        <v>11203.25285426452</v>
      </c>
      <c r="L11" s="41">
        <f t="shared" si="2"/>
        <v>11148.602840341278</v>
      </c>
      <c r="M11" s="41">
        <f t="shared" si="2"/>
        <v>11094.219411851811</v>
      </c>
      <c r="N11" s="41">
        <f t="shared" si="2"/>
        <v>11040.101268379363</v>
      </c>
      <c r="O11" s="41">
        <f t="shared" si="2"/>
        <v>10986.247115850685</v>
      </c>
      <c r="P11" s="41">
        <f t="shared" si="2"/>
        <v>10932.655666505072</v>
      </c>
      <c r="Q11" s="41">
        <f t="shared" si="2"/>
        <v>10879.325638863584</v>
      </c>
      <c r="R11" s="41">
        <f t="shared" si="2"/>
        <v>10826.255757698398</v>
      </c>
      <c r="S11" s="41">
        <f t="shared" si="2"/>
        <v>10773.444754002307</v>
      </c>
      <c r="T11" s="41">
        <f t="shared" si="2"/>
        <v>10720.891364958392</v>
      </c>
      <c r="U11" s="41">
        <f t="shared" si="2"/>
        <v>10668.594333909816</v>
      </c>
      <c r="V11" s="41">
        <f t="shared" si="2"/>
        <v>10616.552410329768</v>
      </c>
      <c r="W11" s="41">
        <f t="shared" si="2"/>
        <v>10564.764349791574</v>
      </c>
      <c r="X11" s="41">
        <f t="shared" si="2"/>
        <v>10513.228913938934</v>
      </c>
      <c r="Y11" s="41">
        <f t="shared" si="2"/>
        <v>10461.944870456306</v>
      </c>
      <c r="Z11" s="41">
        <f t="shared" si="2"/>
        <v>10410.910993039448</v>
      </c>
      <c r="AA11" s="41">
        <f t="shared" si="2"/>
        <v>10360.126061366087</v>
      </c>
      <c r="AB11" s="41">
        <f t="shared" si="2"/>
        <v>10309.588861066741</v>
      </c>
      <c r="AC11" s="41">
        <f t="shared" si="2"/>
        <v>10259.298183695682</v>
      </c>
      <c r="AD11" s="41">
        <f t="shared" si="2"/>
        <v>10209.252826702044</v>
      </c>
      <c r="AE11" s="41">
        <f t="shared" si="2"/>
        <v>10159.451593401061</v>
      </c>
    </row>
    <row r="12" spans="1:31" ht="15" customHeight="1" x14ac:dyDescent="0.25">
      <c r="A12" s="14" t="s">
        <v>232</v>
      </c>
      <c r="B12" s="15">
        <f>'Immobilien-Kalkulation'!B108</f>
        <v>312076.09999999998</v>
      </c>
      <c r="C12" s="15">
        <f>'Immobilien-Kalkulation'!C108</f>
        <v>305484.28849999997</v>
      </c>
      <c r="D12" s="15">
        <f>'Immobilien-Kalkulation'!D108</f>
        <v>298661.76359749999</v>
      </c>
      <c r="E12" s="15">
        <f>'Immobilien-Kalkulation'!E108</f>
        <v>291600.45032341249</v>
      </c>
      <c r="F12" s="15">
        <f>'Immobilien-Kalkulation'!F108</f>
        <v>284291.99108473194</v>
      </c>
      <c r="G12" s="15">
        <f>'Immobilien-Kalkulation'!G108</f>
        <v>276727.73577269755</v>
      </c>
      <c r="H12" s="15">
        <f>'Immobilien-Kalkulation'!H108</f>
        <v>268898.73152474198</v>
      </c>
      <c r="I12" s="15">
        <f>'Immobilien-Kalkulation'!I108</f>
        <v>260795.71212810793</v>
      </c>
      <c r="J12" s="15">
        <f>'Immobilien-Kalkulation'!J108</f>
        <v>252409.0870525917</v>
      </c>
      <c r="K12" s="15">
        <f>'Immobilien-Kalkulation'!K108</f>
        <v>243728.93009943241</v>
      </c>
      <c r="L12" s="15">
        <f>'Immobilien-Kalkulation'!L108</f>
        <v>234744.96765291254</v>
      </c>
      <c r="M12" s="15">
        <f>'Immobilien-Kalkulation'!M108</f>
        <v>225446.56652076449</v>
      </c>
      <c r="N12" s="15">
        <f>'Immobilien-Kalkulation'!N108</f>
        <v>215822.72134899124</v>
      </c>
      <c r="O12" s="15">
        <f>'Immobilien-Kalkulation'!O108</f>
        <v>205862.04159620593</v>
      </c>
      <c r="P12" s="15">
        <f>'Immobilien-Kalkulation'!P108</f>
        <v>195552.73805207314</v>
      </c>
      <c r="Q12" s="15">
        <f>'Immobilien-Kalkulation'!Q108</f>
        <v>184882.60888389571</v>
      </c>
      <c r="R12" s="15">
        <f>'Immobilien-Kalkulation'!R108</f>
        <v>173839.02519483207</v>
      </c>
      <c r="S12" s="15">
        <f>'Immobilien-Kalkulation'!S108</f>
        <v>162408.91607665119</v>
      </c>
      <c r="T12" s="15">
        <f>'Immobilien-Kalkulation'!T108</f>
        <v>150578.75313933397</v>
      </c>
      <c r="U12" s="15">
        <f>'Immobilien-Kalkulation'!U108</f>
        <v>138334.53449921065</v>
      </c>
      <c r="V12" s="15">
        <f>'Immobilien-Kalkulation'!V108</f>
        <v>125661.76820668303</v>
      </c>
      <c r="W12" s="15">
        <f>'Immobilien-Kalkulation'!W108</f>
        <v>112545.45509391694</v>
      </c>
      <c r="X12" s="15">
        <f>'Immobilien-Kalkulation'!X108</f>
        <v>98970.071022204036</v>
      </c>
      <c r="Y12" s="15">
        <f>'Immobilien-Kalkulation'!Y108</f>
        <v>84919.548507981177</v>
      </c>
      <c r="Z12" s="15">
        <f>'Immobilien-Kalkulation'!Z108</f>
        <v>70377.257705760509</v>
      </c>
      <c r="AA12" s="15">
        <f>'Immobilien-Kalkulation'!AA108</f>
        <v>55325.98672546212</v>
      </c>
      <c r="AB12" s="15">
        <f>'Immobilien-Kalkulation'!AB108</f>
        <v>39747.921260853291</v>
      </c>
      <c r="AC12" s="15">
        <f>'Immobilien-Kalkulation'!AC108</f>
        <v>23624.623504983152</v>
      </c>
      <c r="AD12" s="15">
        <f>'Immobilien-Kalkulation'!AD108</f>
        <v>6937.010327657561</v>
      </c>
      <c r="AE12" s="15">
        <f>'Immobilien-Kalkulation'!AE108</f>
        <v>0</v>
      </c>
    </row>
    <row r="13" spans="1:31" ht="15" customHeight="1" x14ac:dyDescent="0.25">
      <c r="A13" s="14" t="s">
        <v>233</v>
      </c>
      <c r="B13" s="41">
        <f t="shared" ref="B13:AE13" si="3">B12*B8</f>
        <v>304464.48780487804</v>
      </c>
      <c r="C13" s="41">
        <f t="shared" si="3"/>
        <v>290764.34360499698</v>
      </c>
      <c r="D13" s="41">
        <f t="shared" si="3"/>
        <v>277337.13774089178</v>
      </c>
      <c r="E13" s="41">
        <f t="shared" si="3"/>
        <v>264175.61599439447</v>
      </c>
      <c r="F13" s="41">
        <f t="shared" si="3"/>
        <v>251272.69525328695</v>
      </c>
      <c r="G13" s="41">
        <f t="shared" si="3"/>
        <v>238621.4592811437</v>
      </c>
      <c r="H13" s="41">
        <f t="shared" si="3"/>
        <v>226215.15458979525</v>
      </c>
      <c r="I13" s="41">
        <f t="shared" si="3"/>
        <v>214047.18641190286</v>
      </c>
      <c r="J13" s="41">
        <f t="shared" si="3"/>
        <v>202111.11477119793</v>
      </c>
      <c r="K13" s="41">
        <f t="shared" si="3"/>
        <v>190400.65064799806</v>
      </c>
      <c r="L13" s="41">
        <f t="shared" si="3"/>
        <v>178909.65223767102</v>
      </c>
      <c r="M13" s="41">
        <f t="shared" si="3"/>
        <v>167632.12129977305</v>
      </c>
      <c r="N13" s="41">
        <f t="shared" si="3"/>
        <v>156562.19959564504</v>
      </c>
      <c r="O13" s="41">
        <f t="shared" si="3"/>
        <v>145694.16541230318</v>
      </c>
      <c r="P13" s="41">
        <f t="shared" si="3"/>
        <v>135022.43017051302</v>
      </c>
      <c r="Q13" s="41">
        <f t="shared" si="3"/>
        <v>124541.53511498876</v>
      </c>
      <c r="R13" s="41">
        <f t="shared" si="3"/>
        <v>114246.14808470788</v>
      </c>
      <c r="S13" s="41">
        <f t="shared" si="3"/>
        <v>104131.06036138172</v>
      </c>
      <c r="T13" s="41">
        <f t="shared" si="3"/>
        <v>94191.183594169604</v>
      </c>
      <c r="U13" s="41">
        <f t="shared" si="3"/>
        <v>84421.54679877068</v>
      </c>
      <c r="V13" s="41">
        <f t="shared" si="3"/>
        <v>74817.293429073412</v>
      </c>
      <c r="W13" s="41">
        <f t="shared" si="3"/>
        <v>65373.678519586771</v>
      </c>
      <c r="X13" s="41">
        <f t="shared" si="3"/>
        <v>56086.065896920474</v>
      </c>
      <c r="Y13" s="41">
        <f t="shared" si="3"/>
        <v>46949.925458623846</v>
      </c>
      <c r="Z13" s="41">
        <f t="shared" si="3"/>
        <v>37960.830517734037</v>
      </c>
      <c r="AA13" s="41">
        <f t="shared" si="3"/>
        <v>29114.45521142444</v>
      </c>
      <c r="AB13" s="41">
        <f t="shared" si="3"/>
        <v>20406.571972183436</v>
      </c>
      <c r="AC13" s="41">
        <f t="shared" si="3"/>
        <v>11833.049059991748</v>
      </c>
      <c r="AD13" s="41">
        <f t="shared" si="3"/>
        <v>3389.8481540039807</v>
      </c>
      <c r="AE13" s="41">
        <f t="shared" si="3"/>
        <v>0</v>
      </c>
    </row>
    <row r="14" spans="1:31" ht="15" customHeight="1" x14ac:dyDescent="0.25">
      <c r="A14" s="10" t="s">
        <v>234</v>
      </c>
      <c r="B14" s="41">
        <f>B9</f>
        <v>-4827.4473170731726</v>
      </c>
      <c r="C14" s="41">
        <f t="shared" ref="C14:AE14" si="4">B14+C9</f>
        <v>-9355.545829863182</v>
      </c>
      <c r="D14" s="41">
        <f t="shared" si="4"/>
        <v>-13592.48261255641</v>
      </c>
      <c r="E14" s="41">
        <f t="shared" si="4"/>
        <v>-17546.240733218419</v>
      </c>
      <c r="F14" s="41">
        <f t="shared" si="4"/>
        <v>-21224.60425063291</v>
      </c>
      <c r="G14" s="41">
        <f t="shared" si="4"/>
        <v>-24635.163089163736</v>
      </c>
      <c r="H14" s="41">
        <f t="shared" si="4"/>
        <v>-27785.317794615537</v>
      </c>
      <c r="I14" s="41">
        <f t="shared" si="4"/>
        <v>-30682.284173995915</v>
      </c>
      <c r="J14" s="41">
        <f t="shared" si="4"/>
        <v>-33333.097822011368</v>
      </c>
      <c r="K14" s="41">
        <f t="shared" si="4"/>
        <v>-35744.618537060043</v>
      </c>
      <c r="L14" s="41">
        <f t="shared" si="4"/>
        <v>-37923.534629416987</v>
      </c>
      <c r="M14" s="41">
        <f t="shared" si="4"/>
        <v>-39876.367124241879</v>
      </c>
      <c r="N14" s="41">
        <f t="shared" si="4"/>
        <v>-41609.473861974999</v>
      </c>
      <c r="O14" s="41">
        <f t="shared" si="4"/>
        <v>-43129.053498624649</v>
      </c>
      <c r="P14" s="41">
        <f t="shared" si="4"/>
        <v>-44441.149408388184</v>
      </c>
      <c r="Q14" s="41">
        <f t="shared" si="4"/>
        <v>-45551.653490989258</v>
      </c>
      <c r="R14" s="41">
        <f t="shared" si="4"/>
        <v>-46466.309886055737</v>
      </c>
      <c r="S14" s="41">
        <f t="shared" si="4"/>
        <v>-47190.718596806058</v>
      </c>
      <c r="T14" s="41">
        <f t="shared" si="4"/>
        <v>-47730.339025256479</v>
      </c>
      <c r="U14" s="41">
        <f t="shared" si="4"/>
        <v>-48090.493421107785</v>
      </c>
      <c r="V14" s="41">
        <f t="shared" si="4"/>
        <v>-48276.370246417187</v>
      </c>
      <c r="W14" s="41">
        <f t="shared" si="4"/>
        <v>-48293.027458110024</v>
      </c>
      <c r="X14" s="41">
        <f t="shared" si="4"/>
        <v>-48145.395710335542</v>
      </c>
      <c r="Y14" s="41">
        <f t="shared" si="4"/>
        <v>-47838.281478622259</v>
      </c>
      <c r="Z14" s="41">
        <f t="shared" si="4"/>
        <v>-47376.37010774076</v>
      </c>
      <c r="AA14" s="41">
        <f t="shared" si="4"/>
        <v>-46764.22878513507</v>
      </c>
      <c r="AB14" s="41">
        <f t="shared" si="4"/>
        <v>-46006.309441738573</v>
      </c>
      <c r="AC14" s="41">
        <f t="shared" si="4"/>
        <v>-45106.951581945934</v>
      </c>
      <c r="AD14" s="41">
        <f t="shared" si="4"/>
        <v>-44070.385044469447</v>
      </c>
      <c r="AE14" s="41">
        <f t="shared" si="4"/>
        <v>-42900.732695765982</v>
      </c>
    </row>
    <row r="15" spans="1:31" ht="15" customHeight="1" x14ac:dyDescent="0.25">
      <c r="A15" s="10" t="s">
        <v>235</v>
      </c>
      <c r="B15" s="41">
        <f>B7</f>
        <v>-4948.1335000000017</v>
      </c>
      <c r="C15" s="41">
        <f t="shared" ref="C15:AE15" si="5">B15+C7</f>
        <v>-9705.4670000000042</v>
      </c>
      <c r="D15" s="41">
        <f t="shared" si="5"/>
        <v>-14268.184500000005</v>
      </c>
      <c r="E15" s="41">
        <f t="shared" si="5"/>
        <v>-18632.393680000005</v>
      </c>
      <c r="F15" s="41">
        <f t="shared" si="5"/>
        <v>-22794.124373600003</v>
      </c>
      <c r="G15" s="41">
        <f t="shared" si="5"/>
        <v>-26749.327011072004</v>
      </c>
      <c r="H15" s="41">
        <f t="shared" si="5"/>
        <v>-30493.871031293445</v>
      </c>
      <c r="I15" s="41">
        <f t="shared" si="5"/>
        <v>-34023.543261919316</v>
      </c>
      <c r="J15" s="41">
        <f t="shared" si="5"/>
        <v>-37334.046267157704</v>
      </c>
      <c r="K15" s="41">
        <f t="shared" si="5"/>
        <v>-40420.99666250086</v>
      </c>
      <c r="L15" s="41">
        <f t="shared" si="5"/>
        <v>-43279.923395750877</v>
      </c>
      <c r="M15" s="41">
        <f t="shared" si="5"/>
        <v>-45906.265993665897</v>
      </c>
      <c r="N15" s="41">
        <f t="shared" si="5"/>
        <v>-48295.372773539209</v>
      </c>
      <c r="O15" s="41">
        <f t="shared" si="5"/>
        <v>-50442.499019009992</v>
      </c>
      <c r="P15" s="41">
        <f t="shared" si="5"/>
        <v>-52342.805119390192</v>
      </c>
      <c r="Q15" s="41">
        <f t="shared" si="5"/>
        <v>-53991.35467177799</v>
      </c>
      <c r="R15" s="41">
        <f t="shared" si="5"/>
        <v>-55383.112545213546</v>
      </c>
      <c r="S15" s="41">
        <f t="shared" si="5"/>
        <v>-56512.942906117809</v>
      </c>
      <c r="T15" s="41">
        <f t="shared" si="5"/>
        <v>-57375.607204240165</v>
      </c>
      <c r="U15" s="41">
        <f t="shared" si="5"/>
        <v>-57965.762118324965</v>
      </c>
      <c r="V15" s="41">
        <f t="shared" si="5"/>
        <v>-58277.957460691461</v>
      </c>
      <c r="W15" s="41">
        <f t="shared" si="5"/>
        <v>-58306.634039905286</v>
      </c>
      <c r="X15" s="41">
        <f t="shared" si="5"/>
        <v>-58046.12148070339</v>
      </c>
      <c r="Y15" s="41">
        <f t="shared" si="5"/>
        <v>-57490.636000317456</v>
      </c>
      <c r="Z15" s="41">
        <f t="shared" si="5"/>
        <v>-56634.278140323804</v>
      </c>
      <c r="AA15" s="41">
        <f t="shared" si="5"/>
        <v>-55471.030453130275</v>
      </c>
      <c r="AB15" s="41">
        <f t="shared" si="5"/>
        <v>-53994.755142192873</v>
      </c>
      <c r="AC15" s="41">
        <f t="shared" si="5"/>
        <v>-52199.191655036724</v>
      </c>
      <c r="AD15" s="41">
        <f t="shared" si="5"/>
        <v>-50077.954228137452</v>
      </c>
      <c r="AE15" s="41">
        <f t="shared" si="5"/>
        <v>-47624.529382700195</v>
      </c>
    </row>
    <row r="16" spans="1:31" ht="15" customHeight="1" x14ac:dyDescent="0.25"/>
    <row r="17" spans="1:2" ht="15" customHeight="1" x14ac:dyDescent="0.25">
      <c r="A17" s="71" t="s">
        <v>236</v>
      </c>
      <c r="B17" s="71"/>
    </row>
    <row r="18" spans="1:2" ht="15" customHeight="1" x14ac:dyDescent="0.25">
      <c r="A18" s="10" t="s">
        <v>237</v>
      </c>
      <c r="B18" s="53">
        <f>SUM(B7:AE7)</f>
        <v>-47624.529382700195</v>
      </c>
    </row>
    <row r="19" spans="1:2" ht="15" customHeight="1" x14ac:dyDescent="0.25">
      <c r="A19" s="10" t="s">
        <v>238</v>
      </c>
      <c r="B19" s="53">
        <f>SUM(B9:AE9)</f>
        <v>-42900.732695765982</v>
      </c>
    </row>
    <row r="20" spans="1:2" ht="15" customHeight="1" x14ac:dyDescent="0.25">
      <c r="A20" s="10" t="s">
        <v>239</v>
      </c>
      <c r="B20" s="53">
        <f>B18-B19</f>
        <v>-4723.7966869342126</v>
      </c>
    </row>
    <row r="21" spans="1:2" ht="15" customHeight="1" x14ac:dyDescent="0.25">
      <c r="A21" s="10" t="s">
        <v>240</v>
      </c>
      <c r="B21" s="54">
        <f>IFERROR((B18-B19)/B18,"—")</f>
        <v>9.9188312161046802E-2</v>
      </c>
    </row>
    <row r="22" spans="1:2" ht="15" customHeight="1" x14ac:dyDescent="0.25">
      <c r="A22" s="10" t="s">
        <v>241</v>
      </c>
      <c r="B22" s="54">
        <f>IFERROR(B19/'Immobilien-Kalkulation'!B61/30,"—")</f>
        <v>-1.7875305289902492E-2</v>
      </c>
    </row>
    <row r="23" spans="1:2" ht="15" customHeight="1" x14ac:dyDescent="0.25">
      <c r="A23" s="10" t="s">
        <v>242</v>
      </c>
      <c r="B23" s="70" t="str">
        <f>IFERROR(MATCH(TRUE(),INDEX(B14:AE14&gt;0,0),0),"—")</f>
        <v>—</v>
      </c>
    </row>
    <row r="24" spans="1:2" ht="15" customHeight="1" x14ac:dyDescent="0.25">
      <c r="A24" s="10" t="s">
        <v>243</v>
      </c>
      <c r="B24" s="70" t="str">
        <f>IFERROR(MATCH(TRUE(),INDEX(B15:AE15&gt;0,0),0),"—")</f>
        <v>—</v>
      </c>
    </row>
    <row r="25" spans="1:2" ht="15" customHeight="1" x14ac:dyDescent="0.25"/>
    <row r="26" spans="1:2" ht="15" customHeight="1" x14ac:dyDescent="0.25"/>
    <row r="27" spans="1:2" ht="15" customHeight="1" x14ac:dyDescent="0.25"/>
    <row r="28" spans="1:2" ht="15" customHeight="1" x14ac:dyDescent="0.25"/>
    <row r="29" spans="1:2" ht="15" customHeight="1" x14ac:dyDescent="0.25"/>
  </sheetData>
  <mergeCells count="4">
    <mergeCell ref="A1:K1"/>
    <mergeCell ref="A2:K2"/>
    <mergeCell ref="A5:K5"/>
    <mergeCell ref="A17:B17"/>
  </mergeCells>
  <pageMargins left="0.75" right="0.75" top="1" bottom="1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7</vt:i4>
      </vt:variant>
    </vt:vector>
  </HeadingPairs>
  <TitlesOfParts>
    <vt:vector size="7" baseType="lpstr">
      <vt:lpstr>Dashboard</vt:lpstr>
      <vt:lpstr>Immobilien-Kalkulation</vt:lpstr>
      <vt:lpstr>Szenarien</vt:lpstr>
      <vt:lpstr>Zinstest</vt:lpstr>
      <vt:lpstr>Exit-Analyse</vt:lpstr>
      <vt:lpstr>EK-Optimierung</vt:lpstr>
      <vt:lpstr>Realwert-Analyse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Simon Stark</cp:lastModifiedBy>
  <cp:revision>8</cp:revision>
  <dcterms:created xsi:type="dcterms:W3CDTF">2026-05-18T16:59:01Z</dcterms:created>
  <dcterms:modified xsi:type="dcterms:W3CDTF">2026-07-03T10:12:54Z</dcterms:modified>
  <dc:language>de-DE</dc:language>
</cp:coreProperties>
</file>