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13_ncr:1_{8CC2161B-5DCC-4F08-96B2-328FE227EBAF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tart" sheetId="1" r:id="rId1"/>
    <sheet name="Klassisches Kelly" sheetId="2" r:id="rId2"/>
    <sheet name="Single Investment" sheetId="3" r:id="rId3"/>
    <sheet name="Portfolio" sheetId="4" r:id="rId4"/>
    <sheet name="Anlageuniversum" sheetId="5" r:id="rId5"/>
    <sheet name="Monatsdaten" sheetId="6" r:id="rId6"/>
    <sheet name="Berechnungen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0" i="7" l="1"/>
  <c r="C80" i="7"/>
  <c r="C43" i="7"/>
  <c r="C42" i="7"/>
  <c r="C41" i="7"/>
  <c r="C40" i="7"/>
  <c r="C39" i="7"/>
  <c r="C38" i="7"/>
  <c r="I14" i="7"/>
  <c r="F14" i="7"/>
  <c r="H14" i="7" s="1"/>
  <c r="I13" i="7"/>
  <c r="F13" i="7"/>
  <c r="H13" i="7" s="1"/>
  <c r="H13" i="5" s="1"/>
  <c r="L13" i="5" s="1"/>
  <c r="I12" i="7"/>
  <c r="F12" i="7"/>
  <c r="H12" i="7" s="1"/>
  <c r="H12" i="5" s="1"/>
  <c r="L12" i="5" s="1"/>
  <c r="I11" i="7"/>
  <c r="F11" i="7"/>
  <c r="H11" i="7" s="1"/>
  <c r="H11" i="5" s="1"/>
  <c r="L11" i="5" s="1"/>
  <c r="I10" i="7"/>
  <c r="F10" i="7"/>
  <c r="H10" i="7" s="1"/>
  <c r="H10" i="5" s="1"/>
  <c r="L10" i="5" s="1"/>
  <c r="I9" i="7"/>
  <c r="F9" i="7"/>
  <c r="H9" i="7" s="1"/>
  <c r="I8" i="7"/>
  <c r="F8" i="7"/>
  <c r="H8" i="7" s="1"/>
  <c r="I7" i="7"/>
  <c r="F7" i="7"/>
  <c r="H7" i="7" s="1"/>
  <c r="I6" i="7"/>
  <c r="F6" i="7"/>
  <c r="H6" i="7" s="1"/>
  <c r="V126" i="6"/>
  <c r="U126" i="6"/>
  <c r="T126" i="6"/>
  <c r="S126" i="6"/>
  <c r="R126" i="6"/>
  <c r="Q126" i="6"/>
  <c r="P126" i="6"/>
  <c r="O126" i="6"/>
  <c r="N126" i="6"/>
  <c r="M126" i="6"/>
  <c r="V125" i="6"/>
  <c r="U125" i="6"/>
  <c r="T125" i="6"/>
  <c r="S125" i="6"/>
  <c r="R125" i="6"/>
  <c r="Q125" i="6"/>
  <c r="P125" i="6"/>
  <c r="O125" i="6"/>
  <c r="N125" i="6"/>
  <c r="M125" i="6"/>
  <c r="V124" i="6"/>
  <c r="U124" i="6"/>
  <c r="T124" i="6"/>
  <c r="S124" i="6"/>
  <c r="R124" i="6"/>
  <c r="Q124" i="6"/>
  <c r="P124" i="6"/>
  <c r="O124" i="6"/>
  <c r="N124" i="6"/>
  <c r="M124" i="6"/>
  <c r="V123" i="6"/>
  <c r="U123" i="6"/>
  <c r="T123" i="6"/>
  <c r="S123" i="6"/>
  <c r="R123" i="6"/>
  <c r="Q123" i="6"/>
  <c r="P123" i="6"/>
  <c r="O123" i="6"/>
  <c r="N123" i="6"/>
  <c r="M123" i="6"/>
  <c r="V122" i="6"/>
  <c r="U122" i="6"/>
  <c r="T122" i="6"/>
  <c r="S122" i="6"/>
  <c r="R122" i="6"/>
  <c r="Q122" i="6"/>
  <c r="P122" i="6"/>
  <c r="O122" i="6"/>
  <c r="N122" i="6"/>
  <c r="M122" i="6"/>
  <c r="V121" i="6"/>
  <c r="U121" i="6"/>
  <c r="T121" i="6"/>
  <c r="S121" i="6"/>
  <c r="R121" i="6"/>
  <c r="Q121" i="6"/>
  <c r="P121" i="6"/>
  <c r="O121" i="6"/>
  <c r="N121" i="6"/>
  <c r="M121" i="6"/>
  <c r="V120" i="6"/>
  <c r="U120" i="6"/>
  <c r="T120" i="6"/>
  <c r="S120" i="6"/>
  <c r="R120" i="6"/>
  <c r="Q120" i="6"/>
  <c r="P120" i="6"/>
  <c r="O120" i="6"/>
  <c r="N120" i="6"/>
  <c r="M120" i="6"/>
  <c r="V119" i="6"/>
  <c r="U119" i="6"/>
  <c r="T119" i="6"/>
  <c r="S119" i="6"/>
  <c r="R119" i="6"/>
  <c r="Q119" i="6"/>
  <c r="P119" i="6"/>
  <c r="O119" i="6"/>
  <c r="N119" i="6"/>
  <c r="M119" i="6"/>
  <c r="V118" i="6"/>
  <c r="U118" i="6"/>
  <c r="T118" i="6"/>
  <c r="S118" i="6"/>
  <c r="R118" i="6"/>
  <c r="Q118" i="6"/>
  <c r="P118" i="6"/>
  <c r="O118" i="6"/>
  <c r="N118" i="6"/>
  <c r="M118" i="6"/>
  <c r="V117" i="6"/>
  <c r="U117" i="6"/>
  <c r="T117" i="6"/>
  <c r="S117" i="6"/>
  <c r="R117" i="6"/>
  <c r="Q117" i="6"/>
  <c r="P117" i="6"/>
  <c r="O117" i="6"/>
  <c r="N117" i="6"/>
  <c r="M117" i="6"/>
  <c r="V116" i="6"/>
  <c r="U116" i="6"/>
  <c r="T116" i="6"/>
  <c r="S116" i="6"/>
  <c r="R116" i="6"/>
  <c r="Q116" i="6"/>
  <c r="P116" i="6"/>
  <c r="O116" i="6"/>
  <c r="N116" i="6"/>
  <c r="M116" i="6"/>
  <c r="V115" i="6"/>
  <c r="U115" i="6"/>
  <c r="T115" i="6"/>
  <c r="S115" i="6"/>
  <c r="R115" i="6"/>
  <c r="Q115" i="6"/>
  <c r="P115" i="6"/>
  <c r="O115" i="6"/>
  <c r="N115" i="6"/>
  <c r="M115" i="6"/>
  <c r="V114" i="6"/>
  <c r="U114" i="6"/>
  <c r="T114" i="6"/>
  <c r="S114" i="6"/>
  <c r="R114" i="6"/>
  <c r="Q114" i="6"/>
  <c r="P114" i="6"/>
  <c r="O114" i="6"/>
  <c r="N114" i="6"/>
  <c r="M114" i="6"/>
  <c r="V113" i="6"/>
  <c r="U113" i="6"/>
  <c r="T113" i="6"/>
  <c r="S113" i="6"/>
  <c r="R113" i="6"/>
  <c r="Q113" i="6"/>
  <c r="P113" i="6"/>
  <c r="O113" i="6"/>
  <c r="N113" i="6"/>
  <c r="M113" i="6"/>
  <c r="V112" i="6"/>
  <c r="U112" i="6"/>
  <c r="T112" i="6"/>
  <c r="S112" i="6"/>
  <c r="R112" i="6"/>
  <c r="Q112" i="6"/>
  <c r="P112" i="6"/>
  <c r="O112" i="6"/>
  <c r="N112" i="6"/>
  <c r="M112" i="6"/>
  <c r="V111" i="6"/>
  <c r="U111" i="6"/>
  <c r="T111" i="6"/>
  <c r="S111" i="6"/>
  <c r="R111" i="6"/>
  <c r="Q111" i="6"/>
  <c r="P111" i="6"/>
  <c r="O111" i="6"/>
  <c r="N111" i="6"/>
  <c r="M111" i="6"/>
  <c r="V110" i="6"/>
  <c r="U110" i="6"/>
  <c r="T110" i="6"/>
  <c r="S110" i="6"/>
  <c r="R110" i="6"/>
  <c r="Q110" i="6"/>
  <c r="P110" i="6"/>
  <c r="O110" i="6"/>
  <c r="N110" i="6"/>
  <c r="M110" i="6"/>
  <c r="V109" i="6"/>
  <c r="U109" i="6"/>
  <c r="T109" i="6"/>
  <c r="S109" i="6"/>
  <c r="R109" i="6"/>
  <c r="Q109" i="6"/>
  <c r="P109" i="6"/>
  <c r="O109" i="6"/>
  <c r="N109" i="6"/>
  <c r="M109" i="6"/>
  <c r="V108" i="6"/>
  <c r="U108" i="6"/>
  <c r="T108" i="6"/>
  <c r="S108" i="6"/>
  <c r="R108" i="6"/>
  <c r="Q108" i="6"/>
  <c r="P108" i="6"/>
  <c r="O108" i="6"/>
  <c r="N108" i="6"/>
  <c r="M108" i="6"/>
  <c r="V107" i="6"/>
  <c r="U107" i="6"/>
  <c r="T107" i="6"/>
  <c r="S107" i="6"/>
  <c r="R107" i="6"/>
  <c r="Q107" i="6"/>
  <c r="P107" i="6"/>
  <c r="O107" i="6"/>
  <c r="N107" i="6"/>
  <c r="M107" i="6"/>
  <c r="V106" i="6"/>
  <c r="U106" i="6"/>
  <c r="T106" i="6"/>
  <c r="S106" i="6"/>
  <c r="R106" i="6"/>
  <c r="Q106" i="6"/>
  <c r="P106" i="6"/>
  <c r="O106" i="6"/>
  <c r="N106" i="6"/>
  <c r="M106" i="6"/>
  <c r="V105" i="6"/>
  <c r="U105" i="6"/>
  <c r="T105" i="6"/>
  <c r="S105" i="6"/>
  <c r="R105" i="6"/>
  <c r="Q105" i="6"/>
  <c r="P105" i="6"/>
  <c r="O105" i="6"/>
  <c r="N105" i="6"/>
  <c r="M105" i="6"/>
  <c r="V104" i="6"/>
  <c r="U104" i="6"/>
  <c r="T104" i="6"/>
  <c r="S104" i="6"/>
  <c r="R104" i="6"/>
  <c r="Q104" i="6"/>
  <c r="P104" i="6"/>
  <c r="O104" i="6"/>
  <c r="N104" i="6"/>
  <c r="M104" i="6"/>
  <c r="V103" i="6"/>
  <c r="U103" i="6"/>
  <c r="T103" i="6"/>
  <c r="S103" i="6"/>
  <c r="R103" i="6"/>
  <c r="Q103" i="6"/>
  <c r="P103" i="6"/>
  <c r="O103" i="6"/>
  <c r="N103" i="6"/>
  <c r="M103" i="6"/>
  <c r="V102" i="6"/>
  <c r="U102" i="6"/>
  <c r="T102" i="6"/>
  <c r="S102" i="6"/>
  <c r="R102" i="6"/>
  <c r="Q102" i="6"/>
  <c r="P102" i="6"/>
  <c r="O102" i="6"/>
  <c r="N102" i="6"/>
  <c r="M102" i="6"/>
  <c r="V101" i="6"/>
  <c r="U101" i="6"/>
  <c r="T101" i="6"/>
  <c r="S101" i="6"/>
  <c r="R101" i="6"/>
  <c r="Q101" i="6"/>
  <c r="P101" i="6"/>
  <c r="O101" i="6"/>
  <c r="N101" i="6"/>
  <c r="M101" i="6"/>
  <c r="V100" i="6"/>
  <c r="U100" i="6"/>
  <c r="T100" i="6"/>
  <c r="S100" i="6"/>
  <c r="R100" i="6"/>
  <c r="Q100" i="6"/>
  <c r="P100" i="6"/>
  <c r="O100" i="6"/>
  <c r="N100" i="6"/>
  <c r="M100" i="6"/>
  <c r="V99" i="6"/>
  <c r="U99" i="6"/>
  <c r="T99" i="6"/>
  <c r="S99" i="6"/>
  <c r="R99" i="6"/>
  <c r="Q99" i="6"/>
  <c r="P99" i="6"/>
  <c r="O99" i="6"/>
  <c r="N99" i="6"/>
  <c r="M99" i="6"/>
  <c r="V98" i="6"/>
  <c r="U98" i="6"/>
  <c r="T98" i="6"/>
  <c r="S98" i="6"/>
  <c r="R98" i="6"/>
  <c r="Q98" i="6"/>
  <c r="P98" i="6"/>
  <c r="O98" i="6"/>
  <c r="N98" i="6"/>
  <c r="M98" i="6"/>
  <c r="V97" i="6"/>
  <c r="U97" i="6"/>
  <c r="T97" i="6"/>
  <c r="S97" i="6"/>
  <c r="R97" i="6"/>
  <c r="Q97" i="6"/>
  <c r="P97" i="6"/>
  <c r="O97" i="6"/>
  <c r="N97" i="6"/>
  <c r="M97" i="6"/>
  <c r="V96" i="6"/>
  <c r="U96" i="6"/>
  <c r="T96" i="6"/>
  <c r="S96" i="6"/>
  <c r="R96" i="6"/>
  <c r="Q96" i="6"/>
  <c r="P96" i="6"/>
  <c r="O96" i="6"/>
  <c r="N96" i="6"/>
  <c r="M96" i="6"/>
  <c r="V95" i="6"/>
  <c r="U95" i="6"/>
  <c r="T95" i="6"/>
  <c r="S95" i="6"/>
  <c r="R95" i="6"/>
  <c r="Q95" i="6"/>
  <c r="P95" i="6"/>
  <c r="O95" i="6"/>
  <c r="N95" i="6"/>
  <c r="M95" i="6"/>
  <c r="V94" i="6"/>
  <c r="U94" i="6"/>
  <c r="T94" i="6"/>
  <c r="S94" i="6"/>
  <c r="R94" i="6"/>
  <c r="Q94" i="6"/>
  <c r="P94" i="6"/>
  <c r="O94" i="6"/>
  <c r="N94" i="6"/>
  <c r="M94" i="6"/>
  <c r="V93" i="6"/>
  <c r="U93" i="6"/>
  <c r="T93" i="6"/>
  <c r="S93" i="6"/>
  <c r="R93" i="6"/>
  <c r="Q93" i="6"/>
  <c r="P93" i="6"/>
  <c r="O93" i="6"/>
  <c r="N93" i="6"/>
  <c r="M93" i="6"/>
  <c r="V92" i="6"/>
  <c r="U92" i="6"/>
  <c r="T92" i="6"/>
  <c r="S92" i="6"/>
  <c r="R92" i="6"/>
  <c r="Q92" i="6"/>
  <c r="P92" i="6"/>
  <c r="O92" i="6"/>
  <c r="N92" i="6"/>
  <c r="M92" i="6"/>
  <c r="V91" i="6"/>
  <c r="U91" i="6"/>
  <c r="T91" i="6"/>
  <c r="S91" i="6"/>
  <c r="R91" i="6"/>
  <c r="Q91" i="6"/>
  <c r="P91" i="6"/>
  <c r="O91" i="6"/>
  <c r="N91" i="6"/>
  <c r="M91" i="6"/>
  <c r="V90" i="6"/>
  <c r="U90" i="6"/>
  <c r="T90" i="6"/>
  <c r="S90" i="6"/>
  <c r="R90" i="6"/>
  <c r="Q90" i="6"/>
  <c r="P90" i="6"/>
  <c r="O90" i="6"/>
  <c r="N90" i="6"/>
  <c r="M90" i="6"/>
  <c r="V89" i="6"/>
  <c r="U89" i="6"/>
  <c r="T89" i="6"/>
  <c r="S89" i="6"/>
  <c r="R89" i="6"/>
  <c r="Q89" i="6"/>
  <c r="P89" i="6"/>
  <c r="O89" i="6"/>
  <c r="N89" i="6"/>
  <c r="M89" i="6"/>
  <c r="V88" i="6"/>
  <c r="U88" i="6"/>
  <c r="T88" i="6"/>
  <c r="S88" i="6"/>
  <c r="R88" i="6"/>
  <c r="Q88" i="6"/>
  <c r="P88" i="6"/>
  <c r="O88" i="6"/>
  <c r="N88" i="6"/>
  <c r="M88" i="6"/>
  <c r="V87" i="6"/>
  <c r="U87" i="6"/>
  <c r="T87" i="6"/>
  <c r="S87" i="6"/>
  <c r="R87" i="6"/>
  <c r="Q87" i="6"/>
  <c r="P87" i="6"/>
  <c r="O87" i="6"/>
  <c r="N87" i="6"/>
  <c r="M87" i="6"/>
  <c r="V86" i="6"/>
  <c r="U86" i="6"/>
  <c r="T86" i="6"/>
  <c r="S86" i="6"/>
  <c r="R86" i="6"/>
  <c r="Q86" i="6"/>
  <c r="P86" i="6"/>
  <c r="O86" i="6"/>
  <c r="N86" i="6"/>
  <c r="M86" i="6"/>
  <c r="V85" i="6"/>
  <c r="U85" i="6"/>
  <c r="T85" i="6"/>
  <c r="S85" i="6"/>
  <c r="R85" i="6"/>
  <c r="Q85" i="6"/>
  <c r="P85" i="6"/>
  <c r="O85" i="6"/>
  <c r="N85" i="6"/>
  <c r="M85" i="6"/>
  <c r="V84" i="6"/>
  <c r="U84" i="6"/>
  <c r="T84" i="6"/>
  <c r="S84" i="6"/>
  <c r="R84" i="6"/>
  <c r="Q84" i="6"/>
  <c r="P84" i="6"/>
  <c r="O84" i="6"/>
  <c r="N84" i="6"/>
  <c r="M84" i="6"/>
  <c r="V83" i="6"/>
  <c r="U83" i="6"/>
  <c r="T83" i="6"/>
  <c r="S83" i="6"/>
  <c r="R83" i="6"/>
  <c r="Q83" i="6"/>
  <c r="P83" i="6"/>
  <c r="O83" i="6"/>
  <c r="N83" i="6"/>
  <c r="M83" i="6"/>
  <c r="V82" i="6"/>
  <c r="U82" i="6"/>
  <c r="T82" i="6"/>
  <c r="S82" i="6"/>
  <c r="R82" i="6"/>
  <c r="Q82" i="6"/>
  <c r="P82" i="6"/>
  <c r="O82" i="6"/>
  <c r="N82" i="6"/>
  <c r="M82" i="6"/>
  <c r="V81" i="6"/>
  <c r="U81" i="6"/>
  <c r="T81" i="6"/>
  <c r="S81" i="6"/>
  <c r="R81" i="6"/>
  <c r="Q81" i="6"/>
  <c r="P81" i="6"/>
  <c r="O81" i="6"/>
  <c r="N81" i="6"/>
  <c r="M81" i="6"/>
  <c r="V80" i="6"/>
  <c r="U80" i="6"/>
  <c r="T80" i="6"/>
  <c r="S80" i="6"/>
  <c r="R80" i="6"/>
  <c r="Q80" i="6"/>
  <c r="P80" i="6"/>
  <c r="O80" i="6"/>
  <c r="N80" i="6"/>
  <c r="M80" i="6"/>
  <c r="V79" i="6"/>
  <c r="U79" i="6"/>
  <c r="T79" i="6"/>
  <c r="S79" i="6"/>
  <c r="R79" i="6"/>
  <c r="Q79" i="6"/>
  <c r="P79" i="6"/>
  <c r="O79" i="6"/>
  <c r="N79" i="6"/>
  <c r="M79" i="6"/>
  <c r="V78" i="6"/>
  <c r="U78" i="6"/>
  <c r="T78" i="6"/>
  <c r="S78" i="6"/>
  <c r="R78" i="6"/>
  <c r="Q78" i="6"/>
  <c r="P78" i="6"/>
  <c r="O78" i="6"/>
  <c r="N78" i="6"/>
  <c r="M78" i="6"/>
  <c r="V77" i="6"/>
  <c r="U77" i="6"/>
  <c r="T77" i="6"/>
  <c r="S77" i="6"/>
  <c r="R77" i="6"/>
  <c r="Q77" i="6"/>
  <c r="P77" i="6"/>
  <c r="O77" i="6"/>
  <c r="N77" i="6"/>
  <c r="M77" i="6"/>
  <c r="V76" i="6"/>
  <c r="U76" i="6"/>
  <c r="T76" i="6"/>
  <c r="S76" i="6"/>
  <c r="R76" i="6"/>
  <c r="Q76" i="6"/>
  <c r="P76" i="6"/>
  <c r="O76" i="6"/>
  <c r="N76" i="6"/>
  <c r="M76" i="6"/>
  <c r="V75" i="6"/>
  <c r="U75" i="6"/>
  <c r="T75" i="6"/>
  <c r="S75" i="6"/>
  <c r="R75" i="6"/>
  <c r="Q75" i="6"/>
  <c r="P75" i="6"/>
  <c r="O75" i="6"/>
  <c r="N75" i="6"/>
  <c r="M75" i="6"/>
  <c r="V74" i="6"/>
  <c r="U74" i="6"/>
  <c r="T74" i="6"/>
  <c r="S74" i="6"/>
  <c r="R74" i="6"/>
  <c r="Q74" i="6"/>
  <c r="P74" i="6"/>
  <c r="O74" i="6"/>
  <c r="N74" i="6"/>
  <c r="M74" i="6"/>
  <c r="V73" i="6"/>
  <c r="U73" i="6"/>
  <c r="T73" i="6"/>
  <c r="S73" i="6"/>
  <c r="R73" i="6"/>
  <c r="Q73" i="6"/>
  <c r="P73" i="6"/>
  <c r="O73" i="6"/>
  <c r="N73" i="6"/>
  <c r="M73" i="6"/>
  <c r="V72" i="6"/>
  <c r="U72" i="6"/>
  <c r="T72" i="6"/>
  <c r="S72" i="6"/>
  <c r="R72" i="6"/>
  <c r="Q72" i="6"/>
  <c r="P72" i="6"/>
  <c r="O72" i="6"/>
  <c r="N72" i="6"/>
  <c r="M72" i="6"/>
  <c r="V71" i="6"/>
  <c r="U71" i="6"/>
  <c r="T71" i="6"/>
  <c r="S71" i="6"/>
  <c r="R71" i="6"/>
  <c r="Q71" i="6"/>
  <c r="P71" i="6"/>
  <c r="O71" i="6"/>
  <c r="N71" i="6"/>
  <c r="M71" i="6"/>
  <c r="V70" i="6"/>
  <c r="U70" i="6"/>
  <c r="T70" i="6"/>
  <c r="S70" i="6"/>
  <c r="R70" i="6"/>
  <c r="Q70" i="6"/>
  <c r="P70" i="6"/>
  <c r="O70" i="6"/>
  <c r="N70" i="6"/>
  <c r="M70" i="6"/>
  <c r="V69" i="6"/>
  <c r="U69" i="6"/>
  <c r="T69" i="6"/>
  <c r="S69" i="6"/>
  <c r="R69" i="6"/>
  <c r="Q69" i="6"/>
  <c r="P69" i="6"/>
  <c r="O69" i="6"/>
  <c r="N69" i="6"/>
  <c r="M69" i="6"/>
  <c r="V68" i="6"/>
  <c r="U68" i="6"/>
  <c r="T68" i="6"/>
  <c r="S68" i="6"/>
  <c r="R68" i="6"/>
  <c r="Q68" i="6"/>
  <c r="P68" i="6"/>
  <c r="O68" i="6"/>
  <c r="N68" i="6"/>
  <c r="M68" i="6"/>
  <c r="V67" i="6"/>
  <c r="U67" i="6"/>
  <c r="T67" i="6"/>
  <c r="S67" i="6"/>
  <c r="R67" i="6"/>
  <c r="Q67" i="6"/>
  <c r="P67" i="6"/>
  <c r="O67" i="6"/>
  <c r="N67" i="6"/>
  <c r="M67" i="6"/>
  <c r="V66" i="6"/>
  <c r="U66" i="6"/>
  <c r="T66" i="6"/>
  <c r="S66" i="6"/>
  <c r="R66" i="6"/>
  <c r="Q66" i="6"/>
  <c r="P66" i="6"/>
  <c r="O66" i="6"/>
  <c r="N66" i="6"/>
  <c r="M66" i="6"/>
  <c r="V65" i="6"/>
  <c r="U65" i="6"/>
  <c r="T65" i="6"/>
  <c r="S65" i="6"/>
  <c r="R65" i="6"/>
  <c r="Q65" i="6"/>
  <c r="P65" i="6"/>
  <c r="O65" i="6"/>
  <c r="N65" i="6"/>
  <c r="M65" i="6"/>
  <c r="V64" i="6"/>
  <c r="U64" i="6"/>
  <c r="T64" i="6"/>
  <c r="S64" i="6"/>
  <c r="R64" i="6"/>
  <c r="Q64" i="6"/>
  <c r="P64" i="6"/>
  <c r="O64" i="6"/>
  <c r="N64" i="6"/>
  <c r="M64" i="6"/>
  <c r="V63" i="6"/>
  <c r="U63" i="6"/>
  <c r="T63" i="6"/>
  <c r="S63" i="6"/>
  <c r="R63" i="6"/>
  <c r="Q63" i="6"/>
  <c r="P63" i="6"/>
  <c r="O63" i="6"/>
  <c r="N63" i="6"/>
  <c r="M63" i="6"/>
  <c r="V62" i="6"/>
  <c r="U62" i="6"/>
  <c r="T62" i="6"/>
  <c r="S62" i="6"/>
  <c r="R62" i="6"/>
  <c r="Q62" i="6"/>
  <c r="P62" i="6"/>
  <c r="O62" i="6"/>
  <c r="N62" i="6"/>
  <c r="M62" i="6"/>
  <c r="V61" i="6"/>
  <c r="U61" i="6"/>
  <c r="T61" i="6"/>
  <c r="S61" i="6"/>
  <c r="R61" i="6"/>
  <c r="Q61" i="6"/>
  <c r="P61" i="6"/>
  <c r="O61" i="6"/>
  <c r="N61" i="6"/>
  <c r="M61" i="6"/>
  <c r="V60" i="6"/>
  <c r="U60" i="6"/>
  <c r="T60" i="6"/>
  <c r="S60" i="6"/>
  <c r="R60" i="6"/>
  <c r="Q60" i="6"/>
  <c r="P60" i="6"/>
  <c r="O60" i="6"/>
  <c r="N60" i="6"/>
  <c r="M60" i="6"/>
  <c r="V59" i="6"/>
  <c r="U59" i="6"/>
  <c r="T59" i="6"/>
  <c r="S59" i="6"/>
  <c r="R59" i="6"/>
  <c r="Q59" i="6"/>
  <c r="P59" i="6"/>
  <c r="O59" i="6"/>
  <c r="N59" i="6"/>
  <c r="M59" i="6"/>
  <c r="V58" i="6"/>
  <c r="U58" i="6"/>
  <c r="T58" i="6"/>
  <c r="S58" i="6"/>
  <c r="R58" i="6"/>
  <c r="Q58" i="6"/>
  <c r="P58" i="6"/>
  <c r="O58" i="6"/>
  <c r="N58" i="6"/>
  <c r="M58" i="6"/>
  <c r="V57" i="6"/>
  <c r="U57" i="6"/>
  <c r="T57" i="6"/>
  <c r="S57" i="6"/>
  <c r="R57" i="6"/>
  <c r="Q57" i="6"/>
  <c r="P57" i="6"/>
  <c r="O57" i="6"/>
  <c r="N57" i="6"/>
  <c r="M57" i="6"/>
  <c r="V56" i="6"/>
  <c r="U56" i="6"/>
  <c r="T56" i="6"/>
  <c r="S56" i="6"/>
  <c r="R56" i="6"/>
  <c r="Q56" i="6"/>
  <c r="P56" i="6"/>
  <c r="O56" i="6"/>
  <c r="N56" i="6"/>
  <c r="M56" i="6"/>
  <c r="V55" i="6"/>
  <c r="U55" i="6"/>
  <c r="T55" i="6"/>
  <c r="S55" i="6"/>
  <c r="R55" i="6"/>
  <c r="Q55" i="6"/>
  <c r="P55" i="6"/>
  <c r="O55" i="6"/>
  <c r="N55" i="6"/>
  <c r="M55" i="6"/>
  <c r="V54" i="6"/>
  <c r="U54" i="6"/>
  <c r="T54" i="6"/>
  <c r="S54" i="6"/>
  <c r="R54" i="6"/>
  <c r="Q54" i="6"/>
  <c r="P54" i="6"/>
  <c r="O54" i="6"/>
  <c r="N54" i="6"/>
  <c r="M54" i="6"/>
  <c r="V53" i="6"/>
  <c r="U53" i="6"/>
  <c r="T53" i="6"/>
  <c r="S53" i="6"/>
  <c r="R53" i="6"/>
  <c r="Q53" i="6"/>
  <c r="P53" i="6"/>
  <c r="O53" i="6"/>
  <c r="N53" i="6"/>
  <c r="M53" i="6"/>
  <c r="V52" i="6"/>
  <c r="U52" i="6"/>
  <c r="T52" i="6"/>
  <c r="S52" i="6"/>
  <c r="R52" i="6"/>
  <c r="Q52" i="6"/>
  <c r="P52" i="6"/>
  <c r="O52" i="6"/>
  <c r="N52" i="6"/>
  <c r="M52" i="6"/>
  <c r="V51" i="6"/>
  <c r="U51" i="6"/>
  <c r="T51" i="6"/>
  <c r="S51" i="6"/>
  <c r="R51" i="6"/>
  <c r="Q51" i="6"/>
  <c r="P51" i="6"/>
  <c r="O51" i="6"/>
  <c r="N51" i="6"/>
  <c r="M51" i="6"/>
  <c r="V50" i="6"/>
  <c r="U50" i="6"/>
  <c r="T50" i="6"/>
  <c r="S50" i="6"/>
  <c r="R50" i="6"/>
  <c r="Q50" i="6"/>
  <c r="P50" i="6"/>
  <c r="O50" i="6"/>
  <c r="N50" i="6"/>
  <c r="M50" i="6"/>
  <c r="V49" i="6"/>
  <c r="U49" i="6"/>
  <c r="T49" i="6"/>
  <c r="S49" i="6"/>
  <c r="R49" i="6"/>
  <c r="Q49" i="6"/>
  <c r="P49" i="6"/>
  <c r="O49" i="6"/>
  <c r="N49" i="6"/>
  <c r="M49" i="6"/>
  <c r="V48" i="6"/>
  <c r="U48" i="6"/>
  <c r="T48" i="6"/>
  <c r="S48" i="6"/>
  <c r="R48" i="6"/>
  <c r="Q48" i="6"/>
  <c r="P48" i="6"/>
  <c r="O48" i="6"/>
  <c r="N48" i="6"/>
  <c r="M48" i="6"/>
  <c r="V47" i="6"/>
  <c r="U47" i="6"/>
  <c r="T47" i="6"/>
  <c r="S47" i="6"/>
  <c r="R47" i="6"/>
  <c r="Q47" i="6"/>
  <c r="P47" i="6"/>
  <c r="O47" i="6"/>
  <c r="N47" i="6"/>
  <c r="M47" i="6"/>
  <c r="V46" i="6"/>
  <c r="U46" i="6"/>
  <c r="T46" i="6"/>
  <c r="S46" i="6"/>
  <c r="R46" i="6"/>
  <c r="Q46" i="6"/>
  <c r="P46" i="6"/>
  <c r="O46" i="6"/>
  <c r="N46" i="6"/>
  <c r="M46" i="6"/>
  <c r="V45" i="6"/>
  <c r="U45" i="6"/>
  <c r="T45" i="6"/>
  <c r="S45" i="6"/>
  <c r="R45" i="6"/>
  <c r="Q45" i="6"/>
  <c r="P45" i="6"/>
  <c r="O45" i="6"/>
  <c r="N45" i="6"/>
  <c r="M45" i="6"/>
  <c r="V44" i="6"/>
  <c r="U44" i="6"/>
  <c r="T44" i="6"/>
  <c r="S44" i="6"/>
  <c r="R44" i="6"/>
  <c r="Q44" i="6"/>
  <c r="P44" i="6"/>
  <c r="O44" i="6"/>
  <c r="N44" i="6"/>
  <c r="M44" i="6"/>
  <c r="V43" i="6"/>
  <c r="U43" i="6"/>
  <c r="T43" i="6"/>
  <c r="S43" i="6"/>
  <c r="R43" i="6"/>
  <c r="Q43" i="6"/>
  <c r="P43" i="6"/>
  <c r="O43" i="6"/>
  <c r="N43" i="6"/>
  <c r="M43" i="6"/>
  <c r="V42" i="6"/>
  <c r="U42" i="6"/>
  <c r="T42" i="6"/>
  <c r="S42" i="6"/>
  <c r="R42" i="6"/>
  <c r="Q42" i="6"/>
  <c r="P42" i="6"/>
  <c r="O42" i="6"/>
  <c r="N42" i="6"/>
  <c r="M42" i="6"/>
  <c r="V41" i="6"/>
  <c r="U41" i="6"/>
  <c r="T41" i="6"/>
  <c r="S41" i="6"/>
  <c r="R41" i="6"/>
  <c r="Q41" i="6"/>
  <c r="P41" i="6"/>
  <c r="O41" i="6"/>
  <c r="N41" i="6"/>
  <c r="M41" i="6"/>
  <c r="V40" i="6"/>
  <c r="U40" i="6"/>
  <c r="T40" i="6"/>
  <c r="S40" i="6"/>
  <c r="R40" i="6"/>
  <c r="Q40" i="6"/>
  <c r="P40" i="6"/>
  <c r="O40" i="6"/>
  <c r="N40" i="6"/>
  <c r="M40" i="6"/>
  <c r="V39" i="6"/>
  <c r="U39" i="6"/>
  <c r="T39" i="6"/>
  <c r="S39" i="6"/>
  <c r="R39" i="6"/>
  <c r="Q39" i="6"/>
  <c r="P39" i="6"/>
  <c r="O39" i="6"/>
  <c r="N39" i="6"/>
  <c r="M39" i="6"/>
  <c r="V38" i="6"/>
  <c r="U38" i="6"/>
  <c r="T38" i="6"/>
  <c r="S38" i="6"/>
  <c r="R38" i="6"/>
  <c r="Q38" i="6"/>
  <c r="P38" i="6"/>
  <c r="O38" i="6"/>
  <c r="N38" i="6"/>
  <c r="M38" i="6"/>
  <c r="V37" i="6"/>
  <c r="U37" i="6"/>
  <c r="T37" i="6"/>
  <c r="S37" i="6"/>
  <c r="R37" i="6"/>
  <c r="Q37" i="6"/>
  <c r="P37" i="6"/>
  <c r="O37" i="6"/>
  <c r="N37" i="6"/>
  <c r="M37" i="6"/>
  <c r="V36" i="6"/>
  <c r="U36" i="6"/>
  <c r="T36" i="6"/>
  <c r="S36" i="6"/>
  <c r="R36" i="6"/>
  <c r="Q36" i="6"/>
  <c r="P36" i="6"/>
  <c r="O36" i="6"/>
  <c r="N36" i="6"/>
  <c r="M36" i="6"/>
  <c r="V35" i="6"/>
  <c r="U35" i="6"/>
  <c r="T35" i="6"/>
  <c r="S35" i="6"/>
  <c r="R35" i="6"/>
  <c r="Q35" i="6"/>
  <c r="P35" i="6"/>
  <c r="O35" i="6"/>
  <c r="N35" i="6"/>
  <c r="M35" i="6"/>
  <c r="V34" i="6"/>
  <c r="U34" i="6"/>
  <c r="T34" i="6"/>
  <c r="S34" i="6"/>
  <c r="R34" i="6"/>
  <c r="Q34" i="6"/>
  <c r="P34" i="6"/>
  <c r="O34" i="6"/>
  <c r="N34" i="6"/>
  <c r="M34" i="6"/>
  <c r="V33" i="6"/>
  <c r="U33" i="6"/>
  <c r="T33" i="6"/>
  <c r="S33" i="6"/>
  <c r="R33" i="6"/>
  <c r="Q33" i="6"/>
  <c r="P33" i="6"/>
  <c r="O33" i="6"/>
  <c r="N33" i="6"/>
  <c r="M33" i="6"/>
  <c r="V32" i="6"/>
  <c r="U32" i="6"/>
  <c r="T32" i="6"/>
  <c r="S32" i="6"/>
  <c r="R32" i="6"/>
  <c r="Q32" i="6"/>
  <c r="P32" i="6"/>
  <c r="O32" i="6"/>
  <c r="N32" i="6"/>
  <c r="M32" i="6"/>
  <c r="V31" i="6"/>
  <c r="U31" i="6"/>
  <c r="T31" i="6"/>
  <c r="S31" i="6"/>
  <c r="R31" i="6"/>
  <c r="Q31" i="6"/>
  <c r="P31" i="6"/>
  <c r="O31" i="6"/>
  <c r="N31" i="6"/>
  <c r="M31" i="6"/>
  <c r="V30" i="6"/>
  <c r="U30" i="6"/>
  <c r="T30" i="6"/>
  <c r="S30" i="6"/>
  <c r="R30" i="6"/>
  <c r="Q30" i="6"/>
  <c r="P30" i="6"/>
  <c r="O30" i="6"/>
  <c r="N30" i="6"/>
  <c r="M30" i="6"/>
  <c r="V29" i="6"/>
  <c r="U29" i="6"/>
  <c r="T29" i="6"/>
  <c r="S29" i="6"/>
  <c r="R29" i="6"/>
  <c r="Q29" i="6"/>
  <c r="P29" i="6"/>
  <c r="O29" i="6"/>
  <c r="N29" i="6"/>
  <c r="M29" i="6"/>
  <c r="V28" i="6"/>
  <c r="U28" i="6"/>
  <c r="T28" i="6"/>
  <c r="S28" i="6"/>
  <c r="R28" i="6"/>
  <c r="Q28" i="6"/>
  <c r="P28" i="6"/>
  <c r="O28" i="6"/>
  <c r="N28" i="6"/>
  <c r="M28" i="6"/>
  <c r="V27" i="6"/>
  <c r="U27" i="6"/>
  <c r="T27" i="6"/>
  <c r="S27" i="6"/>
  <c r="R27" i="6"/>
  <c r="Q27" i="6"/>
  <c r="P27" i="6"/>
  <c r="O27" i="6"/>
  <c r="N27" i="6"/>
  <c r="M27" i="6"/>
  <c r="V26" i="6"/>
  <c r="U26" i="6"/>
  <c r="T26" i="6"/>
  <c r="S26" i="6"/>
  <c r="R26" i="6"/>
  <c r="Q26" i="6"/>
  <c r="P26" i="6"/>
  <c r="O26" i="6"/>
  <c r="N26" i="6"/>
  <c r="M26" i="6"/>
  <c r="V25" i="6"/>
  <c r="U25" i="6"/>
  <c r="T25" i="6"/>
  <c r="S25" i="6"/>
  <c r="R25" i="6"/>
  <c r="Q25" i="6"/>
  <c r="P25" i="6"/>
  <c r="O25" i="6"/>
  <c r="N25" i="6"/>
  <c r="M25" i="6"/>
  <c r="V24" i="6"/>
  <c r="U24" i="6"/>
  <c r="T24" i="6"/>
  <c r="S24" i="6"/>
  <c r="R24" i="6"/>
  <c r="Q24" i="6"/>
  <c r="P24" i="6"/>
  <c r="O24" i="6"/>
  <c r="N24" i="6"/>
  <c r="M24" i="6"/>
  <c r="V23" i="6"/>
  <c r="U23" i="6"/>
  <c r="T23" i="6"/>
  <c r="S23" i="6"/>
  <c r="R23" i="6"/>
  <c r="Q23" i="6"/>
  <c r="P23" i="6"/>
  <c r="O23" i="6"/>
  <c r="N23" i="6"/>
  <c r="M23" i="6"/>
  <c r="V22" i="6"/>
  <c r="U22" i="6"/>
  <c r="T22" i="6"/>
  <c r="S22" i="6"/>
  <c r="R22" i="6"/>
  <c r="Q22" i="6"/>
  <c r="P22" i="6"/>
  <c r="O22" i="6"/>
  <c r="N22" i="6"/>
  <c r="M22" i="6"/>
  <c r="V21" i="6"/>
  <c r="U21" i="6"/>
  <c r="T21" i="6"/>
  <c r="S21" i="6"/>
  <c r="R21" i="6"/>
  <c r="Q21" i="6"/>
  <c r="P21" i="6"/>
  <c r="O21" i="6"/>
  <c r="N21" i="6"/>
  <c r="M21" i="6"/>
  <c r="V20" i="6"/>
  <c r="U20" i="6"/>
  <c r="T20" i="6"/>
  <c r="S20" i="6"/>
  <c r="R20" i="6"/>
  <c r="Q20" i="6"/>
  <c r="P20" i="6"/>
  <c r="O20" i="6"/>
  <c r="N20" i="6"/>
  <c r="M20" i="6"/>
  <c r="V19" i="6"/>
  <c r="U19" i="6"/>
  <c r="T19" i="6"/>
  <c r="S19" i="6"/>
  <c r="R19" i="6"/>
  <c r="Q19" i="6"/>
  <c r="P19" i="6"/>
  <c r="O19" i="6"/>
  <c r="N19" i="6"/>
  <c r="M19" i="6"/>
  <c r="V18" i="6"/>
  <c r="U18" i="6"/>
  <c r="T18" i="6"/>
  <c r="S18" i="6"/>
  <c r="R18" i="6"/>
  <c r="Q18" i="6"/>
  <c r="P18" i="6"/>
  <c r="O18" i="6"/>
  <c r="N18" i="6"/>
  <c r="M18" i="6"/>
  <c r="V17" i="6"/>
  <c r="U17" i="6"/>
  <c r="T17" i="6"/>
  <c r="S17" i="6"/>
  <c r="R17" i="6"/>
  <c r="Q17" i="6"/>
  <c r="P17" i="6"/>
  <c r="O17" i="6"/>
  <c r="N17" i="6"/>
  <c r="M17" i="6"/>
  <c r="V16" i="6"/>
  <c r="U16" i="6"/>
  <c r="T16" i="6"/>
  <c r="S16" i="6"/>
  <c r="R16" i="6"/>
  <c r="Q16" i="6"/>
  <c r="P16" i="6"/>
  <c r="O16" i="6"/>
  <c r="N16" i="6"/>
  <c r="M16" i="6"/>
  <c r="V15" i="6"/>
  <c r="U15" i="6"/>
  <c r="T15" i="6"/>
  <c r="S15" i="6"/>
  <c r="R15" i="6"/>
  <c r="Q15" i="6"/>
  <c r="P15" i="6"/>
  <c r="O15" i="6"/>
  <c r="N15" i="6"/>
  <c r="M15" i="6"/>
  <c r="V14" i="6"/>
  <c r="U14" i="6"/>
  <c r="T14" i="6"/>
  <c r="S14" i="6"/>
  <c r="R14" i="6"/>
  <c r="Q14" i="6"/>
  <c r="P14" i="6"/>
  <c r="O14" i="6"/>
  <c r="N14" i="6"/>
  <c r="M14" i="6"/>
  <c r="V13" i="6"/>
  <c r="U13" i="6"/>
  <c r="T13" i="6"/>
  <c r="S13" i="6"/>
  <c r="R13" i="6"/>
  <c r="Q13" i="6"/>
  <c r="P13" i="6"/>
  <c r="O13" i="6"/>
  <c r="N13" i="6"/>
  <c r="M13" i="6"/>
  <c r="V12" i="6"/>
  <c r="U12" i="6"/>
  <c r="T12" i="6"/>
  <c r="S12" i="6"/>
  <c r="R12" i="6"/>
  <c r="Q12" i="6"/>
  <c r="P12" i="6"/>
  <c r="O12" i="6"/>
  <c r="N12" i="6"/>
  <c r="M12" i="6"/>
  <c r="V11" i="6"/>
  <c r="U11" i="6"/>
  <c r="T11" i="6"/>
  <c r="S11" i="6"/>
  <c r="R11" i="6"/>
  <c r="Q11" i="6"/>
  <c r="P11" i="6"/>
  <c r="O11" i="6"/>
  <c r="N11" i="6"/>
  <c r="M11" i="6"/>
  <c r="V10" i="6"/>
  <c r="U10" i="6"/>
  <c r="T10" i="6"/>
  <c r="S10" i="6"/>
  <c r="R10" i="6"/>
  <c r="Q10" i="6"/>
  <c r="P10" i="6"/>
  <c r="O10" i="6"/>
  <c r="N10" i="6"/>
  <c r="M10" i="6"/>
  <c r="V9" i="6"/>
  <c r="U9" i="6"/>
  <c r="T9" i="6"/>
  <c r="S9" i="6"/>
  <c r="R9" i="6"/>
  <c r="Q9" i="6"/>
  <c r="P9" i="6"/>
  <c r="O9" i="6"/>
  <c r="N9" i="6"/>
  <c r="M9" i="6"/>
  <c r="V8" i="6"/>
  <c r="U8" i="6"/>
  <c r="T8" i="6"/>
  <c r="S8" i="6"/>
  <c r="R8" i="6"/>
  <c r="Q8" i="6"/>
  <c r="P8" i="6"/>
  <c r="O8" i="6"/>
  <c r="N8" i="6"/>
  <c r="M8" i="6"/>
  <c r="M7" i="6"/>
  <c r="L14" i="5"/>
  <c r="K14" i="5"/>
  <c r="L9" i="5"/>
  <c r="F29" i="7" s="1"/>
  <c r="F35" i="7" s="1"/>
  <c r="K9" i="5"/>
  <c r="F57" i="7" s="1"/>
  <c r="L8" i="5"/>
  <c r="K8" i="5"/>
  <c r="E57" i="7" s="1"/>
  <c r="L7" i="5"/>
  <c r="K7" i="5"/>
  <c r="D57" i="7" s="1"/>
  <c r="L6" i="5"/>
  <c r="E16" i="4" s="1"/>
  <c r="K6" i="5"/>
  <c r="D16" i="4" s="1"/>
  <c r="F35" i="4"/>
  <c r="E35" i="4"/>
  <c r="D35" i="4"/>
  <c r="C35" i="4"/>
  <c r="F34" i="4"/>
  <c r="E34" i="4"/>
  <c r="D34" i="4"/>
  <c r="C34" i="4"/>
  <c r="F33" i="4"/>
  <c r="E33" i="4"/>
  <c r="D33" i="4"/>
  <c r="C33" i="4"/>
  <c r="F32" i="4"/>
  <c r="E32" i="4"/>
  <c r="D32" i="4"/>
  <c r="C32" i="4"/>
  <c r="C19" i="4"/>
  <c r="C18" i="4"/>
  <c r="C17" i="4"/>
  <c r="C16" i="4"/>
  <c r="C12" i="4"/>
  <c r="C11" i="4"/>
  <c r="C10" i="4"/>
  <c r="C9" i="4"/>
  <c r="C8" i="4"/>
  <c r="C7" i="4"/>
  <c r="C6" i="4"/>
  <c r="C20" i="3"/>
  <c r="C12" i="2"/>
  <c r="C13" i="2" s="1"/>
  <c r="D21" i="2" s="1"/>
  <c r="E21" i="2" s="1"/>
  <c r="D17" i="4" l="1"/>
  <c r="C28" i="7"/>
  <c r="C34" i="7" s="1"/>
  <c r="E19" i="4"/>
  <c r="D19" i="4"/>
  <c r="D18" i="4"/>
  <c r="C45" i="7"/>
  <c r="C48" i="7" s="1"/>
  <c r="C50" i="7" s="1"/>
  <c r="D7" i="7"/>
  <c r="E8" i="7"/>
  <c r="G8" i="7" s="1"/>
  <c r="F27" i="7"/>
  <c r="F33" i="7" s="1"/>
  <c r="E18" i="4"/>
  <c r="D9" i="7"/>
  <c r="D29" i="7"/>
  <c r="D35" i="7" s="1"/>
  <c r="F28" i="7"/>
  <c r="F34" i="7" s="1"/>
  <c r="E14" i="7"/>
  <c r="G14" i="7" s="1"/>
  <c r="E7" i="7"/>
  <c r="G7" i="7" s="1"/>
  <c r="E10" i="7"/>
  <c r="G10" i="7" s="1"/>
  <c r="G10" i="5" s="1"/>
  <c r="K10" i="5" s="1"/>
  <c r="E11" i="7"/>
  <c r="G11" i="7" s="1"/>
  <c r="G11" i="5" s="1"/>
  <c r="K11" i="5" s="1"/>
  <c r="C46" i="7"/>
  <c r="D13" i="7"/>
  <c r="C47" i="7"/>
  <c r="E12" i="7"/>
  <c r="G12" i="7" s="1"/>
  <c r="G12" i="5" s="1"/>
  <c r="K12" i="5" s="1"/>
  <c r="E9" i="7"/>
  <c r="G9" i="7" s="1"/>
  <c r="F26" i="7"/>
  <c r="F32" i="7" s="1"/>
  <c r="E17" i="4"/>
  <c r="E6" i="7"/>
  <c r="G6" i="7" s="1"/>
  <c r="D22" i="2"/>
  <c r="E22" i="2" s="1"/>
  <c r="D28" i="7"/>
  <c r="D34" i="7" s="1"/>
  <c r="C57" i="7"/>
  <c r="E13" i="7"/>
  <c r="G13" i="7" s="1"/>
  <c r="G13" i="5" s="1"/>
  <c r="K13" i="5" s="1"/>
  <c r="E28" i="7"/>
  <c r="E34" i="7" s="1"/>
  <c r="D11" i="7"/>
  <c r="C26" i="7"/>
  <c r="C32" i="7" s="1"/>
  <c r="C29" i="7"/>
  <c r="C35" i="7" s="1"/>
  <c r="D26" i="7"/>
  <c r="D32" i="7" s="1"/>
  <c r="E26" i="7"/>
  <c r="E32" i="7" s="1"/>
  <c r="E29" i="7"/>
  <c r="E35" i="7" s="1"/>
  <c r="H21" i="4"/>
  <c r="C16" i="2"/>
  <c r="C27" i="7"/>
  <c r="C33" i="7" s="1"/>
  <c r="D20" i="2"/>
  <c r="E20" i="2" s="1"/>
  <c r="D27" i="7"/>
  <c r="D33" i="7" s="1"/>
  <c r="D6" i="7"/>
  <c r="D8" i="7"/>
  <c r="D10" i="7"/>
  <c r="D12" i="7"/>
  <c r="D14" i="7"/>
  <c r="E27" i="7"/>
  <c r="E33" i="7" s="1"/>
  <c r="C14" i="2"/>
  <c r="C15" i="2" s="1"/>
  <c r="C49" i="7" l="1"/>
  <c r="C51" i="7"/>
  <c r="C21" i="3"/>
  <c r="F61" i="7"/>
  <c r="E61" i="7"/>
  <c r="C63" i="7"/>
  <c r="D61" i="7"/>
  <c r="C60" i="7"/>
  <c r="C61" i="7"/>
  <c r="C67" i="7" s="1"/>
  <c r="C75" i="7" s="1"/>
  <c r="F63" i="7"/>
  <c r="F60" i="7"/>
  <c r="E63" i="7"/>
  <c r="E60" i="7"/>
  <c r="D63" i="7"/>
  <c r="D60" i="7"/>
  <c r="F62" i="7"/>
  <c r="E62" i="7"/>
  <c r="D62" i="7"/>
  <c r="C62" i="7"/>
  <c r="C68" i="7" s="1"/>
  <c r="C76" i="7" s="1"/>
  <c r="C69" i="7" l="1"/>
  <c r="C77" i="7" s="1"/>
  <c r="C66" i="7"/>
  <c r="C29" i="3"/>
  <c r="C22" i="3"/>
  <c r="C28" i="3"/>
  <c r="C24" i="3"/>
  <c r="C23" i="3"/>
  <c r="C30" i="3"/>
  <c r="E30" i="3" l="1"/>
  <c r="F30" i="3" s="1"/>
  <c r="D30" i="3"/>
  <c r="E28" i="3"/>
  <c r="F28" i="3" s="1"/>
  <c r="D28" i="3"/>
  <c r="E29" i="3"/>
  <c r="F29" i="3" s="1"/>
  <c r="D29" i="3"/>
  <c r="C74" i="7"/>
  <c r="C79" i="7" s="1"/>
  <c r="C71" i="7"/>
  <c r="C82" i="7" l="1"/>
  <c r="C85" i="7"/>
  <c r="C84" i="7"/>
  <c r="C83" i="7"/>
  <c r="F19" i="4" l="1"/>
  <c r="C95" i="7"/>
  <c r="G19" i="4" s="1"/>
  <c r="H19" i="4" s="1"/>
  <c r="F17" i="4"/>
  <c r="C93" i="7"/>
  <c r="G17" i="4" s="1"/>
  <c r="H17" i="4" s="1"/>
  <c r="F18" i="4"/>
  <c r="C94" i="7"/>
  <c r="G18" i="4" s="1"/>
  <c r="H18" i="4" s="1"/>
  <c r="C87" i="7"/>
  <c r="C88" i="7" s="1"/>
  <c r="F20" i="4" s="1"/>
  <c r="F16" i="4"/>
  <c r="C92" i="7"/>
  <c r="C101" i="7" l="1"/>
  <c r="C26" i="4" s="1"/>
  <c r="C97" i="7"/>
  <c r="G16" i="4"/>
  <c r="H16" i="4" l="1"/>
  <c r="C98" i="7"/>
  <c r="C24" i="4"/>
  <c r="G20" i="4" l="1"/>
  <c r="C100" i="7"/>
  <c r="C103" i="7" l="1"/>
  <c r="C25" i="4"/>
  <c r="H20" i="4"/>
  <c r="G21" i="4"/>
  <c r="C104" i="7" l="1"/>
  <c r="C28" i="4" s="1"/>
  <c r="C2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</author>
  </authors>
  <commentList>
    <comment ref="C7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1 = Einsatz verdoppelt bei Gewinn</t>
        </r>
      </text>
    </comment>
    <comment ref="C8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1 = gesamter Einsatz weg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</author>
  </authors>
  <commentList>
    <comment ref="C7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6 World, 7 BTC, 8 Gold, 9 REITs, 10–13 Custom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Kelly</author>
  </authors>
  <commentList>
    <comment ref="I6" authorId="0" shapeId="0" xr:uid="{00000000-0006-0000-0400-000001000000}">
      <text>
        <r>
          <rPr>
            <sz val="11"/>
            <color theme="1"/>
            <rFont val="Calibri"/>
            <family val="2"/>
            <scheme val="minor"/>
          </rPr>
          <t>Nur ausfüllen wenn du μ selbst setzt</t>
        </r>
      </text>
    </comment>
    <comment ref="J6" authorId="0" shapeId="0" xr:uid="{00000000-0006-0000-0400-000002000000}">
      <text>
        <r>
          <rPr>
            <sz val="11"/>
            <color theme="1"/>
            <rFont val="Calibri"/>
            <family val="2"/>
            <scheme val="minor"/>
          </rPr>
          <t>Nur ausfüllen wenn du σ selbst setzt</t>
        </r>
      </text>
    </comment>
    <comment ref="I7" authorId="0" shapeId="0" xr:uid="{00000000-0006-0000-0400-000003000000}">
      <text>
        <r>
          <rPr>
            <sz val="11"/>
            <color theme="1"/>
            <rFont val="Calibri"/>
            <family val="2"/>
            <scheme val="minor"/>
          </rPr>
          <t>Nur ausfüllen wenn du μ selbst setzt</t>
        </r>
      </text>
    </comment>
    <comment ref="J7" authorId="0" shapeId="0" xr:uid="{00000000-0006-0000-0400-000004000000}">
      <text>
        <r>
          <rPr>
            <sz val="11"/>
            <color theme="1"/>
            <rFont val="Calibri"/>
            <family val="2"/>
            <scheme val="minor"/>
          </rPr>
          <t>Nur ausfüllen wenn du σ selbst setzt</t>
        </r>
      </text>
    </comment>
    <comment ref="I8" authorId="0" shapeId="0" xr:uid="{00000000-0006-0000-0400-000005000000}">
      <text>
        <r>
          <rPr>
            <sz val="11"/>
            <color theme="1"/>
            <rFont val="Calibri"/>
            <family val="2"/>
            <scheme val="minor"/>
          </rPr>
          <t>Nur ausfüllen wenn du μ selbst setzt</t>
        </r>
      </text>
    </comment>
    <comment ref="J8" authorId="0" shapeId="0" xr:uid="{00000000-0006-0000-0400-000006000000}">
      <text>
        <r>
          <rPr>
            <sz val="11"/>
            <color theme="1"/>
            <rFont val="Calibri"/>
            <family val="2"/>
            <scheme val="minor"/>
          </rPr>
          <t>Nur ausfüllen wenn du σ selbst setzt</t>
        </r>
      </text>
    </comment>
    <comment ref="I9" authorId="0" shapeId="0" xr:uid="{00000000-0006-0000-0400-000007000000}">
      <text>
        <r>
          <rPr>
            <sz val="11"/>
            <color theme="1"/>
            <rFont val="Calibri"/>
            <family val="2"/>
            <scheme val="minor"/>
          </rPr>
          <t>Nur ausfüllen wenn du μ selbst setzt</t>
        </r>
      </text>
    </comment>
    <comment ref="J9" authorId="0" shapeId="0" xr:uid="{00000000-0006-0000-0400-000008000000}">
      <text>
        <r>
          <rPr>
            <sz val="11"/>
            <color theme="1"/>
            <rFont val="Calibri"/>
            <family val="2"/>
            <scheme val="minor"/>
          </rPr>
          <t>Nur ausfüllen wenn du σ selbst setzt</t>
        </r>
      </text>
    </comment>
    <comment ref="C24" authorId="0" shapeId="0" xr:uid="{00000000-0006-0000-0400-000009000000}">
      <text>
        <r>
          <rPr>
            <sz val="11"/>
            <color theme="1"/>
            <rFont val="Calibri"/>
            <family val="2"/>
            <scheme val="minor"/>
          </rPr>
          <t>Default = BIL, änderbar</t>
        </r>
      </text>
    </comment>
    <comment ref="C30" authorId="0" shapeId="0" xr:uid="{00000000-0006-0000-0400-00000A000000}">
      <text>
        <r>
          <rPr>
            <sz val="11"/>
            <color theme="1"/>
            <rFont val="Calibri"/>
            <family val="2"/>
            <scheme val="minor"/>
          </rPr>
          <t>0.5 = Half Kelly</t>
        </r>
      </text>
    </comment>
  </commentList>
</comments>
</file>

<file path=xl/sharedStrings.xml><?xml version="1.0" encoding="utf-8"?>
<sst xmlns="http://schemas.openxmlformats.org/spreadsheetml/2006/main" count="316" uniqueCount="175">
  <si>
    <t>Kelly-Kriterium Tool v1.1</t>
  </si>
  <si>
    <t>Datenbasis</t>
  </si>
  <si>
    <t>Zeitraum</t>
  </si>
  <si>
    <t>2016-08-01 bis 2026-07-01</t>
  </si>
  <si>
    <t>Monatsrenditen (n)</t>
  </si>
  <si>
    <t>Tickers</t>
  </si>
  <si>
    <t>MSCI World=URTH, Bitcoin=BTC-USD, Gold=GLD, REITs=VNQ</t>
  </si>
  <si>
    <t>Cash-Proxy</t>
  </si>
  <si>
    <t>Cash Proxy (BIL) = BIL</t>
  </si>
  <si>
    <t>Stand</t>
  </si>
  <si>
    <t>2026-08-07</t>
  </si>
  <si>
    <t>μ und σ</t>
  </si>
  <si>
    <t>mean(r_m)×12 und stdev(r_m)×√12</t>
  </si>
  <si>
    <t>Blätter</t>
  </si>
  <si>
    <t>→ Klassisches Kelly</t>
  </si>
  <si>
    <t>Wette: p, Gewinnquote b, Verlustrate a → Einsatz f*</t>
  </si>
  <si>
    <t>→ Single Investment</t>
  </si>
  <si>
    <t>Ein Asset: μ, σ, Inflation, optional Kredit → f* und Endkapital</t>
  </si>
  <si>
    <t>→ Portfolio</t>
  </si>
  <si>
    <t>Vier Assets: Gewichte aus Σ⁻¹(μ−r), Fraktion, Endkapital</t>
  </si>
  <si>
    <t>→ Anlageuniversum</t>
  </si>
  <si>
    <t>Assets, Active, Overrides, globale Parameter</t>
  </si>
  <si>
    <t>→ Monatsdaten</t>
  </si>
  <si>
    <t>Kurse und Monatsrenditen; Custom-Spalten leer vorbereitet</t>
  </si>
  <si>
    <t>→ Berechnungen</t>
  </si>
  <si>
    <t>Stats, Korrelation, Cov, Kelly-Formeln</t>
  </si>
  <si>
    <t>Bedienung</t>
  </si>
  <si>
    <t>Hellblau = Input. Grün = Ergebnis. Standard-Assets haben feste μ/σ aus den Monatsdaten; die Formeln in „Berechnungen“ und „Monatsdaten“ prüfen das nach. Custom 1–4: Kurse in „Monatsdaten“ eintragen, Active=1 setzen. Leere Override-Zellen werden ignoriert (ISNUMBER), deshalb kein #WERT!. BTC-μ aus 10 Jahren ist sehr hoch. Für Planung besser Override setzen.</t>
  </si>
  <si>
    <t>Farben: hellblau Input | grün Ergebnis | dunkelblau Kopfzeile</t>
  </si>
  <si>
    <t>Klassisches Kelly</t>
  </si>
  <si>
    <t>Einsatzgröße bei wiederholten binären Wetten</t>
  </si>
  <si>
    <t>Eingaben</t>
  </si>
  <si>
    <t>Gewinnwahrscheinlichkeit p</t>
  </si>
  <si>
    <t>Gewinnquote b (Nettogewinn / Einsatz)</t>
  </si>
  <si>
    <t>Verlustrate a (Verlust / Einsatz)</t>
  </si>
  <si>
    <t>Kapital €</t>
  </si>
  <si>
    <t>Ergebnis</t>
  </si>
  <si>
    <t>q = 1 − p</t>
  </si>
  <si>
    <t>Kelly f* = p/a − q/b</t>
  </si>
  <si>
    <t>f gekappt auf 0–100%</t>
  </si>
  <si>
    <t>Einsatz €</t>
  </si>
  <si>
    <t>Status</t>
  </si>
  <si>
    <t>Fractional Kelly</t>
  </si>
  <si>
    <t>Variante</t>
  </si>
  <si>
    <t>Faktor</t>
  </si>
  <si>
    <t>f</t>
  </si>
  <si>
    <t>Quarter</t>
  </si>
  <si>
    <t>Half</t>
  </si>
  <si>
    <t>Full</t>
  </si>
  <si>
    <t>Formel</t>
  </si>
  <si>
    <t>f* = p/a − q/b mit q = 1 − p. Beispiel a=b=1: f* = 2p − 1. p überschätzen macht den Einsatz zu groß. Half Kelly dämpft das.</t>
  </si>
  <si>
    <t>→ Start</t>
  </si>
  <si>
    <t>Single Investment Kelly</t>
  </si>
  <si>
    <t>Ein Asset, μ/σ aus dem Universum, Inflation und optional Kredit</t>
  </si>
  <si>
    <t>Asset</t>
  </si>
  <si>
    <t>Name (nur Anzeige)</t>
  </si>
  <si>
    <t>MSCI World</t>
  </si>
  <si>
    <t>Zeile Anlageuniversum (6–13)</t>
  </si>
  <si>
    <t>μ p.a. nominal</t>
  </si>
  <si>
    <t>σ p.a.</t>
  </si>
  <si>
    <t>Parameter (aus Anlageuniversum)</t>
  </si>
  <si>
    <t>Cashrendite</t>
  </si>
  <si>
    <t>Inflation</t>
  </si>
  <si>
    <t>Kreditzins</t>
  </si>
  <si>
    <t>Fremdkapital</t>
  </si>
  <si>
    <t>Startkapital</t>
  </si>
  <si>
    <t>Jahre</t>
  </si>
  <si>
    <t>μ real</t>
  </si>
  <si>
    <t>Full Kelly f*</t>
  </si>
  <si>
    <t>Cash / Finanzierung</t>
  </si>
  <si>
    <t>Exposure €</t>
  </si>
  <si>
    <t>Risikoprämie real</t>
  </si>
  <si>
    <t>Fractional + Endkapital</t>
  </si>
  <si>
    <t>Cash</t>
  </si>
  <si>
    <t>Endkapital nom.</t>
  </si>
  <si>
    <t>Kaufkraft</t>
  </si>
  <si>
    <t>Kurz erklärt</t>
  </si>
  <si>
    <t>f* maximiert g(f)=r+f(μ−r)−½f²σ². f≤1 nutzt Cashzins, f&gt;1 den Kreditzins (nur wenn Fremdkapital=1). Endkapital ≈ K·e^(g·T). BTC-Historie ist kein guter Planungs-μ.</t>
  </si>
  <si>
    <t>Portfolio Kelly</t>
  </si>
  <si>
    <t>Vier Assets, historische Cov, Long-only-Clip, optionale Hebel-Summe &gt; 100%</t>
  </si>
  <si>
    <t>Inputs (global)</t>
  </si>
  <si>
    <t>Fraktion</t>
  </si>
  <si>
    <t>Allokation</t>
  </si>
  <si>
    <t>Active</t>
  </si>
  <si>
    <t>μ</t>
  </si>
  <si>
    <t>σ</t>
  </si>
  <si>
    <t>w Full</t>
  </si>
  <si>
    <t>w Fraktion</t>
  </si>
  <si>
    <t>Betrag €</t>
  </si>
  <si>
    <t>Bitcoin</t>
  </si>
  <si>
    <t>Gold</t>
  </si>
  <si>
    <t>REITs</t>
  </si>
  <si>
    <t>Gesamt</t>
  </si>
  <si>
    <t>Kennzahlen (Fraktion)</t>
  </si>
  <si>
    <t>Risky Exposure</t>
  </si>
  <si>
    <t>E[r] nominal</t>
  </si>
  <si>
    <t>σ Portfolio</t>
  </si>
  <si>
    <t>Korrelation</t>
  </si>
  <si>
    <t>Methode</t>
  </si>
  <si>
    <t>Unconstrained: w = Σ⁻¹(μ−r). Negativ → 0. Ohne Kredit und Summe&gt;1 → auf 100% skalieren. Mit Kredit darf die Summe über 100% liegen. Die 4×4-Engine nutzt World, Bitcoin, Gold, REITs. Custom-Spalten sind für eigene Kurse vorbereitet, stecken aber noch nicht in der Matrix. Half Kelly (Fraktion 50%) ist der Default.</t>
  </si>
  <si>
    <t>Anlageuniversum</t>
  </si>
  <si>
    <t>μ/σ-Daten aus Monatsrenditen. Override nur wenn du eine Zahl einträgst.</t>
  </si>
  <si>
    <t>#</t>
  </si>
  <si>
    <t>Name</t>
  </si>
  <si>
    <t>Ticker</t>
  </si>
  <si>
    <t>Klasse</t>
  </si>
  <si>
    <t>μ Daten</t>
  </si>
  <si>
    <t>σ Daten</t>
  </si>
  <si>
    <t>μ Override</t>
  </si>
  <si>
    <t>σ Override</t>
  </si>
  <si>
    <t>μ verwendet</t>
  </si>
  <si>
    <t>σ verwendet</t>
  </si>
  <si>
    <t>Notiz</t>
  </si>
  <si>
    <t>URTH</t>
  </si>
  <si>
    <t>ETF/Asset</t>
  </si>
  <si>
    <t>n=119 Monatsrenditen</t>
  </si>
  <si>
    <t>BTC-USD</t>
  </si>
  <si>
    <t>GLD</t>
  </si>
  <si>
    <t>VNQ</t>
  </si>
  <si>
    <t>Custom 1</t>
  </si>
  <si>
    <t>Custom</t>
  </si>
  <si>
    <t>Kurse in Monatsdaten eintragen</t>
  </si>
  <si>
    <t>Custom 2</t>
  </si>
  <si>
    <t>Custom 3</t>
  </si>
  <si>
    <t>Custom 4</t>
  </si>
  <si>
    <t>Cash Proxy (BIL)</t>
  </si>
  <si>
    <t>BIL</t>
  </si>
  <si>
    <t>Referenz für Cash-Default</t>
  </si>
  <si>
    <t>Korrelation Monatsrenditen (A1–A4)</t>
  </si>
  <si>
    <t>Globale Parameter</t>
  </si>
  <si>
    <t>Cashrendite p.a.</t>
  </si>
  <si>
    <t>Inflation p.a.</t>
  </si>
  <si>
    <t>Kreditzins p.a.</t>
  </si>
  <si>
    <t>Fremdkapital (1=ja, 0=nein)</t>
  </si>
  <si>
    <t>Startkapital €</t>
  </si>
  <si>
    <t>Kelly-Fraktion Portfolio</t>
  </si>
  <si>
    <t>Kelly rechnet mit Realzinsen: μ−π, Cash−π, Kredit−π. Die Überschussrendite μ−Cash bleibt gleich wie ohne Inflation.</t>
  </si>
  <si>
    <t>Monatsdaten</t>
  </si>
  <si>
    <t>Yahoo 1mo, adjustiert | 2016-08-01 – 2026-07-01 | Custom-Spalten zum Ausfüllen</t>
  </si>
  <si>
    <t>PREISE</t>
  </si>
  <si>
    <t>MONATSRENDITEN</t>
  </si>
  <si>
    <t>Datum</t>
  </si>
  <si>
    <t>Berechnungen</t>
  </si>
  <si>
    <t>Alles hier speist Single Investment und Portfolio. Formeln mit IFERROR/N/ISNUMBER.</t>
  </si>
  <si>
    <t>1. Stats aus Monatsrenditen (Zeilen = Anlageuniversum)</t>
  </si>
  <si>
    <t>2. Korrelation A1–A4 (feste Werte aus Daten + Formeln optional)</t>
  </si>
  <si>
    <t>3. Kovarianz p.a. = σi·σj·ρij</t>
  </si>
  <si>
    <t>4. Cov-Block für MINVERSE (C33:F36)</t>
  </si>
  <si>
    <t>5. Single-Kelly</t>
  </si>
  <si>
    <t>μ nom</t>
  </si>
  <si>
    <t>Cash nom</t>
  </si>
  <si>
    <t>Kredit nom</t>
  </si>
  <si>
    <t>Borrow</t>
  </si>
  <si>
    <t>r_cash real</t>
  </si>
  <si>
    <t>r_borrow real</t>
  </si>
  <si>
    <t>f_cash*</t>
  </si>
  <si>
    <t>f_borrow*</t>
  </si>
  <si>
    <t>g real @ Full</t>
  </si>
  <si>
    <t>6. Portfolio Kelly A1–A4</t>
  </si>
  <si>
    <t>Excess = μ_verwendet − Cash_nom</t>
  </si>
  <si>
    <t>Σ⁻¹</t>
  </si>
  <si>
    <t>w unc.</t>
  </si>
  <si>
    <t>Summe unc.</t>
  </si>
  <si>
    <t>Long-only clip</t>
  </si>
  <si>
    <t>Summe clip</t>
  </si>
  <si>
    <t>Summe Full</t>
  </si>
  <si>
    <t>Cash Full</t>
  </si>
  <si>
    <t>Summe Fraktion</t>
  </si>
  <si>
    <t>Cash Fraktion</t>
  </si>
  <si>
    <t>E[r] nom Fraktion</t>
  </si>
  <si>
    <t>σ Fraktion</t>
  </si>
  <si>
    <t>Endkapital nom</t>
  </si>
  <si>
    <t>7. Snapshot (Python, Kontrolle)</t>
  </si>
  <si>
    <t>μ p.a.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</si>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</sst>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yyyy\-mm\-dd"/>
    <numFmt numFmtId="166" formatCode="0.0000"/>
  </numFmts>
  <fonts count="14" x14ac:knownFonts="1">
    <font>
      <sz val="11"/>
      <color theme="1"/>
      <name val="Calibri"/>
      <family val="2"/>
      <scheme val="minor"/>
    </font>
    <font>
      <b/>
      <sz val="18"/>
      <color rgb="FF1F4E78"/>
      <name val="Calibri"/>
      <family val="2"/>
    </font>
    <font>
      <sz val="11"/>
      <color rgb="FF595959"/>
      <name val="Calibri"/>
      <family val="2"/>
    </font>
    <font>
      <b/>
      <sz val="11"/>
      <color rgb="FF1F4E7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1F4E78"/>
      <name val="Calibri"/>
      <family val="2"/>
    </font>
    <font>
      <i/>
      <sz val="9"/>
      <color rgb="FF595959"/>
      <name val="Calibri"/>
      <family val="2"/>
    </font>
    <font>
      <b/>
      <sz val="11"/>
      <color rgb="FFFFFFFF"/>
      <name val="Calibri"/>
      <family val="2"/>
    </font>
    <font>
      <sz val="11"/>
      <color rgb="FF002060"/>
      <name val="Calibri"/>
      <family val="2"/>
    </font>
    <font>
      <b/>
      <sz val="14"/>
      <color rgb="FF1F4E78"/>
      <name val="Calibri"/>
      <family val="2"/>
    </font>
    <font>
      <sz val="11"/>
      <color rgb="FF002060"/>
      <name val="Calibri"/>
      <family val="2"/>
    </font>
    <font>
      <b/>
      <sz val="14"/>
      <color rgb="FF1F4E78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2F4F7"/>
      </patternFill>
    </fill>
    <fill>
      <patternFill patternType="solid">
        <fgColor rgb="FFE2EFDA"/>
      </patternFill>
    </fill>
    <fill>
      <patternFill patternType="solid">
        <fgColor rgb="FF1F4E78"/>
      </patternFill>
    </fill>
    <fill>
      <patternFill patternType="solid">
        <fgColor rgb="FFB4C7DC"/>
      </patternFill>
    </fill>
    <fill>
      <patternFill patternType="solid">
        <fgColor rgb="FFB4C7DC"/>
      </patternFill>
    </fill>
    <fill>
      <patternFill patternType="solid">
        <fgColor rgb="FFE2EFDA"/>
      </patternFill>
    </fill>
  </fills>
  <borders count="3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3" borderId="1" xfId="0" applyFont="1" applyFill="1" applyBorder="1"/>
    <xf numFmtId="0" fontId="6" fillId="0" borderId="0" xfId="0" applyFont="1"/>
    <xf numFmtId="2" fontId="9" fillId="5" borderId="1" xfId="0" applyNumberFormat="1" applyFont="1" applyFill="1" applyBorder="1"/>
    <xf numFmtId="3" fontId="9" fillId="5" borderId="1" xfId="0" applyNumberFormat="1" applyFont="1" applyFill="1" applyBorder="1"/>
    <xf numFmtId="10" fontId="5" fillId="3" borderId="1" xfId="0" applyNumberFormat="1" applyFont="1" applyFill="1" applyBorder="1"/>
    <xf numFmtId="4" fontId="10" fillId="3" borderId="1" xfId="0" applyNumberFormat="1" applyFont="1" applyFill="1" applyBorder="1"/>
    <xf numFmtId="0" fontId="8" fillId="4" borderId="1" xfId="0" applyFont="1" applyFill="1" applyBorder="1" applyAlignment="1">
      <alignment horizontal="center" wrapText="1"/>
    </xf>
    <xf numFmtId="9" fontId="5" fillId="3" borderId="1" xfId="0" applyNumberFormat="1" applyFont="1" applyFill="1" applyBorder="1"/>
    <xf numFmtId="4" fontId="5" fillId="3" borderId="1" xfId="0" applyNumberFormat="1" applyFont="1" applyFill="1" applyBorder="1"/>
    <xf numFmtId="0" fontId="9" fillId="5" borderId="1" xfId="0" applyFont="1" applyFill="1" applyBorder="1"/>
    <xf numFmtId="1" fontId="9" fillId="5" borderId="1" xfId="0" applyNumberFormat="1" applyFont="1" applyFill="1" applyBorder="1"/>
    <xf numFmtId="3" fontId="5" fillId="3" borderId="1" xfId="0" applyNumberFormat="1" applyFont="1" applyFill="1" applyBorder="1"/>
    <xf numFmtId="1" fontId="5" fillId="3" borderId="1" xfId="0" applyNumberFormat="1" applyFont="1" applyFill="1" applyBorder="1"/>
    <xf numFmtId="10" fontId="10" fillId="3" borderId="1" xfId="0" applyNumberFormat="1" applyFont="1" applyFill="1" applyBorder="1"/>
    <xf numFmtId="0" fontId="4" fillId="0" borderId="0" xfId="0" applyFont="1" applyAlignment="1">
      <alignment vertical="top" wrapText="1"/>
    </xf>
    <xf numFmtId="3" fontId="10" fillId="3" borderId="1" xfId="0" applyNumberFormat="1" applyFont="1" applyFill="1" applyBorder="1"/>
    <xf numFmtId="2" fontId="5" fillId="3" borderId="1" xfId="0" applyNumberFormat="1" applyFont="1" applyFill="1" applyBorder="1"/>
    <xf numFmtId="0" fontId="0" fillId="0" borderId="1" xfId="0" applyBorder="1"/>
    <xf numFmtId="0" fontId="5" fillId="0" borderId="1" xfId="0" applyFont="1" applyBorder="1" applyAlignment="1">
      <alignment vertical="top" wrapText="1"/>
    </xf>
    <xf numFmtId="10" fontId="9" fillId="5" borderId="1" xfId="0" applyNumberFormat="1" applyFont="1" applyFill="1" applyBorder="1"/>
    <xf numFmtId="0" fontId="4" fillId="0" borderId="1" xfId="0" applyFont="1" applyBorder="1"/>
    <xf numFmtId="2" fontId="0" fillId="3" borderId="1" xfId="0" applyNumberFormat="1" applyFill="1" applyBorder="1"/>
    <xf numFmtId="9" fontId="9" fillId="5" borderId="1" xfId="0" applyNumberFormat="1" applyFont="1" applyFill="1" applyBorder="1"/>
    <xf numFmtId="4" fontId="0" fillId="3" borderId="1" xfId="0" applyNumberFormat="1" applyFill="1" applyBorder="1"/>
    <xf numFmtId="4" fontId="0" fillId="5" borderId="1" xfId="0" applyNumberFormat="1" applyFill="1" applyBorder="1"/>
    <xf numFmtId="10" fontId="0" fillId="3" borderId="1" xfId="0" applyNumberFormat="1" applyFill="1" applyBorder="1"/>
    <xf numFmtId="1" fontId="5" fillId="3" borderId="1" xfId="0" applyNumberFormat="1" applyFont="1" applyFill="1" applyBorder="1" applyAlignment="1">
      <alignment horizontal="center" wrapText="1"/>
    </xf>
    <xf numFmtId="10" fontId="5" fillId="3" borderId="1" xfId="0" applyNumberFormat="1" applyFont="1" applyFill="1" applyBorder="1" applyAlignment="1">
      <alignment horizontal="center" wrapText="1"/>
    </xf>
    <xf numFmtId="0" fontId="8" fillId="4" borderId="0" xfId="0" applyFont="1" applyFill="1"/>
    <xf numFmtId="0" fontId="5" fillId="0" borderId="0" xfId="0" applyFont="1"/>
    <xf numFmtId="0" fontId="3" fillId="2" borderId="0" xfId="0" applyFont="1" applyFill="1"/>
    <xf numFmtId="0" fontId="0" fillId="0" borderId="0" xfId="0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164" fontId="9" fillId="5" borderId="1" xfId="0" applyNumberFormat="1" applyFont="1" applyFill="1" applyBorder="1"/>
    <xf numFmtId="164" fontId="5" fillId="3" borderId="1" xfId="0" applyNumberFormat="1" applyFont="1" applyFill="1" applyBorder="1"/>
    <xf numFmtId="10" fontId="11" fillId="6" borderId="2" xfId="0" applyNumberFormat="1" applyFont="1" applyFill="1" applyBorder="1"/>
    <xf numFmtId="0" fontId="11" fillId="6" borderId="2" xfId="0" applyFont="1" applyFill="1" applyBorder="1"/>
    <xf numFmtId="3" fontId="11" fillId="6" borderId="2" xfId="0" applyNumberFormat="1" applyFont="1" applyFill="1" applyBorder="1"/>
    <xf numFmtId="1" fontId="11" fillId="6" borderId="2" xfId="0" applyNumberFormat="1" applyFont="1" applyFill="1" applyBorder="1"/>
    <xf numFmtId="10" fontId="12" fillId="7" borderId="2" xfId="0" applyNumberFormat="1" applyFont="1" applyFill="1" applyBorder="1"/>
    <xf numFmtId="165" fontId="0" fillId="0" borderId="1" xfId="0" applyNumberFormat="1" applyBorder="1"/>
    <xf numFmtId="166" fontId="0" fillId="3" borderId="1" xfId="0" applyNumberFormat="1" applyFill="1" applyBorder="1"/>
    <xf numFmtId="166" fontId="5" fillId="3" borderId="1" xfId="0" applyNumberFormat="1" applyFont="1" applyFill="1" applyBorder="1"/>
    <xf numFmtId="10" fontId="13" fillId="7" borderId="2" xfId="0" applyNumberFormat="1" applyFont="1" applyFill="1" applyBorder="1"/>
    <xf numFmtId="0" fontId="13" fillId="7" borderId="2" xfId="0" applyFont="1" applyFill="1" applyBorder="1"/>
    <xf numFmtId="0" fontId="3" fillId="2" borderId="0" xfId="0" applyFont="1" applyFill="1"/>
    <xf numFmtId="0" fontId="0" fillId="0" borderId="0" xfId="0"/>
    <xf numFmtId="0" fontId="5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7"/>
  <sheetViews>
    <sheetView workbookViewId="0">
      <pane xSplit="1" ySplit="3" topLeftCell="B4" activePane="bottomRight" state="frozen"/>
      <selection pane="topRight"/>
      <selection pane="bottomLeft"/>
      <selection pane="bottomRight" activeCell="B27" sqref="B27"/>
    </sheetView>
  </sheetViews>
  <sheetFormatPr baseColWidth="10" defaultColWidth="9.140625" defaultRowHeight="15" x14ac:dyDescent="0.25"/>
  <cols>
    <col min="1" max="1" width="3" style="35" customWidth="1"/>
    <col min="2" max="2" width="40" style="35" customWidth="1"/>
    <col min="3" max="3" width="36" style="35" customWidth="1"/>
    <col min="4" max="4" width="22" style="35" customWidth="1"/>
    <col min="5" max="5" width="16" style="35" customWidth="1"/>
  </cols>
  <sheetData>
    <row r="2" spans="2:4" ht="23.25" customHeight="1" x14ac:dyDescent="0.35">
      <c r="B2" s="1" t="s">
        <v>0</v>
      </c>
    </row>
    <row r="4" spans="2:4" x14ac:dyDescent="0.25">
      <c r="B4" s="50" t="s">
        <v>1</v>
      </c>
      <c r="C4" s="51"/>
      <c r="D4" s="51"/>
    </row>
    <row r="5" spans="2:4" x14ac:dyDescent="0.25">
      <c r="B5" s="3" t="s">
        <v>2</v>
      </c>
      <c r="C5" s="4" t="s">
        <v>3</v>
      </c>
    </row>
    <row r="6" spans="2:4" x14ac:dyDescent="0.25">
      <c r="B6" s="3" t="s">
        <v>4</v>
      </c>
      <c r="C6" s="4">
        <v>119</v>
      </c>
    </row>
    <row r="7" spans="2:4" x14ac:dyDescent="0.25">
      <c r="B7" s="3" t="s">
        <v>5</v>
      </c>
      <c r="C7" s="4" t="s">
        <v>6</v>
      </c>
    </row>
    <row r="8" spans="2:4" x14ac:dyDescent="0.25">
      <c r="B8" s="3" t="s">
        <v>7</v>
      </c>
      <c r="C8" s="4" t="s">
        <v>8</v>
      </c>
    </row>
    <row r="9" spans="2:4" x14ac:dyDescent="0.25">
      <c r="B9" s="3" t="s">
        <v>9</v>
      </c>
      <c r="C9" s="4" t="s">
        <v>10</v>
      </c>
    </row>
    <row r="10" spans="2:4" x14ac:dyDescent="0.25">
      <c r="B10" s="3" t="s">
        <v>11</v>
      </c>
      <c r="C10" s="4" t="s">
        <v>12</v>
      </c>
    </row>
    <row r="12" spans="2:4" x14ac:dyDescent="0.25">
      <c r="B12" s="50" t="s">
        <v>13</v>
      </c>
      <c r="C12" s="51"/>
      <c r="D12" s="51"/>
    </row>
    <row r="14" spans="2:4" ht="30" customHeight="1" x14ac:dyDescent="0.25">
      <c r="B14" s="5" t="s">
        <v>14</v>
      </c>
      <c r="C14" s="36" t="s">
        <v>15</v>
      </c>
    </row>
    <row r="15" spans="2:4" ht="30" customHeight="1" x14ac:dyDescent="0.25">
      <c r="B15" s="5" t="s">
        <v>16</v>
      </c>
      <c r="C15" s="36" t="s">
        <v>17</v>
      </c>
    </row>
    <row r="16" spans="2:4" ht="30" customHeight="1" x14ac:dyDescent="0.25">
      <c r="B16" s="5" t="s">
        <v>18</v>
      </c>
      <c r="C16" s="36" t="s">
        <v>19</v>
      </c>
    </row>
    <row r="17" spans="2:5" ht="30" customHeight="1" x14ac:dyDescent="0.25">
      <c r="B17" s="5" t="s">
        <v>20</v>
      </c>
      <c r="C17" s="36" t="s">
        <v>21</v>
      </c>
    </row>
    <row r="18" spans="2:5" ht="30" customHeight="1" x14ac:dyDescent="0.25">
      <c r="B18" s="5" t="s">
        <v>22</v>
      </c>
      <c r="C18" s="36" t="s">
        <v>23</v>
      </c>
    </row>
    <row r="19" spans="2:5" x14ac:dyDescent="0.25">
      <c r="B19" s="5" t="s">
        <v>24</v>
      </c>
      <c r="C19" s="36" t="s">
        <v>25</v>
      </c>
    </row>
    <row r="21" spans="2:5" x14ac:dyDescent="0.25">
      <c r="B21" s="50" t="s">
        <v>26</v>
      </c>
      <c r="C21" s="51"/>
      <c r="D21" s="51"/>
    </row>
    <row r="22" spans="2:5" ht="68.099999999999994" customHeight="1" x14ac:dyDescent="0.25">
      <c r="B22" s="52" t="s">
        <v>27</v>
      </c>
      <c r="C22" s="51"/>
      <c r="D22" s="51"/>
      <c r="E22" s="51"/>
    </row>
    <row r="23" spans="2:5" x14ac:dyDescent="0.25">
      <c r="B23" s="51"/>
      <c r="C23" s="51"/>
      <c r="D23" s="51"/>
      <c r="E23" s="51"/>
    </row>
    <row r="24" spans="2:5" x14ac:dyDescent="0.25">
      <c r="B24" s="51"/>
      <c r="C24" s="51"/>
      <c r="D24" s="51"/>
      <c r="E24" s="51"/>
    </row>
    <row r="25" spans="2:5" x14ac:dyDescent="0.25">
      <c r="B25" s="51"/>
      <c r="C25" s="51"/>
      <c r="D25" s="51"/>
      <c r="E25" s="51"/>
    </row>
    <row r="27" spans="2:5" ht="24" customHeight="1" x14ac:dyDescent="0.25">
      <c r="B27" s="37" t="s">
        <v>28</v>
      </c>
    </row>
  </sheetData>
  <mergeCells count="4">
    <mergeCell ref="B12:D12"/>
    <mergeCell ref="B21:D21"/>
    <mergeCell ref="B22:E25"/>
    <mergeCell ref="B4:D4"/>
  </mergeCells>
  <hyperlinks>
    <hyperlink ref="B14" location="'Klassisches Kelly'!A1" display="→ Klassisches Kelly" xr:uid="{00000000-0004-0000-0000-000000000000}"/>
    <hyperlink ref="B15" location="'Single Investment'!A1" display="→ Single Investment" xr:uid="{00000000-0004-0000-0000-000001000000}"/>
    <hyperlink ref="B16" location="'Portfolio'!A1" display="→ Portfolio" xr:uid="{00000000-0004-0000-0000-000002000000}"/>
    <hyperlink ref="B17" location="'Anlageuniversum'!A1" display="→ Anlageuniversum" xr:uid="{00000000-0004-0000-0000-000003000000}"/>
    <hyperlink ref="B18" location="'Monatsdaten'!A1" display="→ Monatsdaten" xr:uid="{00000000-0004-0000-0000-000004000000}"/>
    <hyperlink ref="B19" location="'Berechnungen'!A1" display="→ Berechnungen" xr:uid="{00000000-0004-0000-0000-000005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8"/>
  <sheetViews>
    <sheetView workbookViewId="0">
      <pane xSplit="1" ySplit="4" topLeftCell="B5" activePane="bottomRight" state="frozen"/>
      <selection pane="topRight"/>
      <selection pane="bottomLeft"/>
      <selection pane="bottomRight"/>
    </sheetView>
  </sheetViews>
  <sheetFormatPr baseColWidth="10" defaultColWidth="9.140625" defaultRowHeight="15" x14ac:dyDescent="0.25"/>
  <cols>
    <col min="1" max="1" width="3" style="35" customWidth="1"/>
    <col min="2" max="2" width="40" style="35" customWidth="1"/>
    <col min="3" max="3" width="16" style="35" customWidth="1"/>
    <col min="4" max="4" width="14" style="35" customWidth="1"/>
    <col min="5" max="6" width="16" style="35" customWidth="1"/>
  </cols>
  <sheetData>
    <row r="2" spans="2:3" ht="23.25" customHeight="1" x14ac:dyDescent="0.35">
      <c r="B2" s="1" t="s">
        <v>29</v>
      </c>
    </row>
    <row r="3" spans="2:3" x14ac:dyDescent="0.25">
      <c r="B3" s="2" t="s">
        <v>30</v>
      </c>
    </row>
    <row r="5" spans="2:3" x14ac:dyDescent="0.25">
      <c r="B5" s="50" t="s">
        <v>31</v>
      </c>
      <c r="C5" s="51"/>
    </row>
    <row r="6" spans="2:3" x14ac:dyDescent="0.25">
      <c r="B6" s="3" t="s">
        <v>32</v>
      </c>
      <c r="C6" s="38">
        <v>0.55000000000000004</v>
      </c>
    </row>
    <row r="7" spans="2:3" x14ac:dyDescent="0.25">
      <c r="B7" s="3" t="s">
        <v>33</v>
      </c>
      <c r="C7" s="6">
        <v>1</v>
      </c>
    </row>
    <row r="8" spans="2:3" x14ac:dyDescent="0.25">
      <c r="B8" s="3" t="s">
        <v>34</v>
      </c>
      <c r="C8" s="6">
        <v>1</v>
      </c>
    </row>
    <row r="9" spans="2:3" x14ac:dyDescent="0.25">
      <c r="B9" s="3" t="s">
        <v>35</v>
      </c>
      <c r="C9" s="7">
        <v>10000</v>
      </c>
    </row>
    <row r="11" spans="2:3" x14ac:dyDescent="0.25">
      <c r="B11" s="50" t="s">
        <v>36</v>
      </c>
      <c r="C11" s="51"/>
    </row>
    <row r="12" spans="2:3" x14ac:dyDescent="0.25">
      <c r="B12" s="3" t="s">
        <v>37</v>
      </c>
      <c r="C12" s="39">
        <f>1-N(C6)</f>
        <v>0.44999999999999996</v>
      </c>
    </row>
    <row r="13" spans="2:3" x14ac:dyDescent="0.25">
      <c r="B13" s="3" t="s">
        <v>38</v>
      </c>
      <c r="C13" s="8">
        <f>IF(OR(N(C8)&lt;=0,N(C7)&lt;=0),0,N(C6)/N(C8)-N(C12)/N(C7))</f>
        <v>0.10000000000000009</v>
      </c>
    </row>
    <row r="14" spans="2:3" x14ac:dyDescent="0.25">
      <c r="B14" s="3" t="s">
        <v>39</v>
      </c>
      <c r="C14" s="8">
        <f>MAX(0,MIN(1,C13))</f>
        <v>0.10000000000000009</v>
      </c>
    </row>
    <row r="15" spans="2:3" ht="18.75" customHeight="1" x14ac:dyDescent="0.3">
      <c r="B15" s="3" t="s">
        <v>40</v>
      </c>
      <c r="C15" s="9">
        <f>N(C9)*C14</f>
        <v>1000.0000000000009</v>
      </c>
    </row>
    <row r="16" spans="2:3" x14ac:dyDescent="0.25">
      <c r="B16" s="3" t="s">
        <v>41</v>
      </c>
      <c r="C16" s="4" t="str">
        <f>IF(C13&lt;=0,"Nicht wetten",IF(C13&gt;1,"f* &gt; 100%, Anzeige gekappt","OK"))</f>
        <v>OK</v>
      </c>
    </row>
    <row r="18" spans="2:6" x14ac:dyDescent="0.25">
      <c r="B18" s="50" t="s">
        <v>42</v>
      </c>
      <c r="C18" s="51"/>
    </row>
    <row r="19" spans="2:6" x14ac:dyDescent="0.25">
      <c r="B19" s="10" t="s">
        <v>43</v>
      </c>
      <c r="C19" s="10" t="s">
        <v>44</v>
      </c>
      <c r="D19" s="10" t="s">
        <v>45</v>
      </c>
      <c r="E19" s="10" t="s">
        <v>40</v>
      </c>
    </row>
    <row r="20" spans="2:6" x14ac:dyDescent="0.25">
      <c r="B20" s="36" t="s">
        <v>46</v>
      </c>
      <c r="C20" s="11">
        <v>0.25</v>
      </c>
      <c r="D20" s="8">
        <f>MAX(0,C13)*C20</f>
        <v>2.5000000000000022E-2</v>
      </c>
      <c r="E20" s="12">
        <f>N($C$9)*D20</f>
        <v>250.00000000000023</v>
      </c>
    </row>
    <row r="21" spans="2:6" x14ac:dyDescent="0.25">
      <c r="B21" s="36" t="s">
        <v>47</v>
      </c>
      <c r="C21" s="11">
        <v>0.5</v>
      </c>
      <c r="D21" s="8">
        <f>MAX(0,C13)*C21</f>
        <v>5.0000000000000044E-2</v>
      </c>
      <c r="E21" s="12">
        <f>N($C$9)*D21</f>
        <v>500.00000000000045</v>
      </c>
    </row>
    <row r="22" spans="2:6" x14ac:dyDescent="0.25">
      <c r="B22" s="36" t="s">
        <v>48</v>
      </c>
      <c r="C22" s="11">
        <v>1</v>
      </c>
      <c r="D22" s="8">
        <f>MAX(0,C13)*C22</f>
        <v>0.10000000000000009</v>
      </c>
      <c r="E22" s="12">
        <f>N($C$9)*D22</f>
        <v>1000.0000000000009</v>
      </c>
    </row>
    <row r="24" spans="2:6" x14ac:dyDescent="0.25">
      <c r="B24" s="50" t="s">
        <v>49</v>
      </c>
      <c r="C24" s="51"/>
      <c r="D24" s="51"/>
      <c r="E24" s="51"/>
    </row>
    <row r="25" spans="2:6" x14ac:dyDescent="0.25">
      <c r="B25" s="52" t="s">
        <v>50</v>
      </c>
      <c r="C25" s="51"/>
      <c r="D25" s="51"/>
      <c r="E25" s="51"/>
      <c r="F25" s="51"/>
    </row>
    <row r="26" spans="2:6" x14ac:dyDescent="0.25">
      <c r="B26" s="51"/>
      <c r="C26" s="51"/>
      <c r="D26" s="51"/>
      <c r="E26" s="51"/>
      <c r="F26" s="51"/>
    </row>
    <row r="28" spans="2:6" x14ac:dyDescent="0.25">
      <c r="B28" s="5" t="s">
        <v>51</v>
      </c>
      <c r="C28" s="5" t="s">
        <v>16</v>
      </c>
    </row>
  </sheetData>
  <mergeCells count="5">
    <mergeCell ref="B11:C11"/>
    <mergeCell ref="B5:C5"/>
    <mergeCell ref="B25:F26"/>
    <mergeCell ref="B24:E24"/>
    <mergeCell ref="B18:C18"/>
  </mergeCells>
  <hyperlinks>
    <hyperlink ref="B28" location="'Start'!A1" display="→ Start" xr:uid="{00000000-0004-0000-0100-000000000000}"/>
    <hyperlink ref="C28" location="'Single Investment'!A1" display="→ Single Investment" xr:uid="{00000000-0004-0000-0100-000001000000}"/>
  </hyperlinks>
  <pageMargins left="0.75" right="0.75" top="1" bottom="1" header="0.5" footer="0.5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F37"/>
  <sheetViews>
    <sheetView tabSelected="1" workbookViewId="0">
      <pane xSplit="1" ySplit="4" topLeftCell="B14" activePane="bottomRight" state="frozen"/>
      <selection pane="topRight"/>
      <selection pane="bottomLeft"/>
      <selection pane="bottomRight" activeCell="I36" sqref="I36"/>
    </sheetView>
  </sheetViews>
  <sheetFormatPr baseColWidth="10" defaultColWidth="9.140625" defaultRowHeight="15" x14ac:dyDescent="0.25"/>
  <cols>
    <col min="1" max="1" width="3" style="35" customWidth="1"/>
    <col min="2" max="2" width="42" style="35" customWidth="1"/>
    <col min="3" max="3" width="16" style="35" customWidth="1"/>
    <col min="4" max="4" width="14" style="35" customWidth="1"/>
    <col min="5" max="5" width="16" style="35" customWidth="1"/>
    <col min="6" max="6" width="14" style="35" customWidth="1"/>
  </cols>
  <sheetData>
    <row r="2" spans="2:3" ht="23.25" customHeight="1" x14ac:dyDescent="0.35">
      <c r="B2" s="1" t="s">
        <v>52</v>
      </c>
    </row>
    <row r="3" spans="2:3" x14ac:dyDescent="0.25">
      <c r="B3" s="2" t="s">
        <v>53</v>
      </c>
    </row>
    <row r="5" spans="2:3" x14ac:dyDescent="0.25">
      <c r="B5" s="50" t="s">
        <v>54</v>
      </c>
      <c r="C5" s="51"/>
    </row>
    <row r="6" spans="2:3" x14ac:dyDescent="0.25">
      <c r="B6" s="3" t="s">
        <v>55</v>
      </c>
      <c r="C6" s="13" t="s">
        <v>56</v>
      </c>
    </row>
    <row r="7" spans="2:3" x14ac:dyDescent="0.25">
      <c r="B7" s="3" t="s">
        <v>57</v>
      </c>
      <c r="C7" s="14">
        <v>6</v>
      </c>
    </row>
    <row r="8" spans="2:3" x14ac:dyDescent="0.25">
      <c r="B8" s="3" t="s">
        <v>58</v>
      </c>
      <c r="C8" s="40">
        <v>0.08</v>
      </c>
    </row>
    <row r="9" spans="2:3" x14ac:dyDescent="0.25">
      <c r="B9" s="3" t="s">
        <v>59</v>
      </c>
      <c r="C9" s="40">
        <v>0.1</v>
      </c>
    </row>
    <row r="11" spans="2:3" x14ac:dyDescent="0.25">
      <c r="B11" s="50" t="s">
        <v>60</v>
      </c>
      <c r="C11" s="51"/>
    </row>
    <row r="12" spans="2:3" x14ac:dyDescent="0.25">
      <c r="B12" s="3" t="s">
        <v>61</v>
      </c>
      <c r="C12" s="40">
        <v>2.2499999999999999E-2</v>
      </c>
    </row>
    <row r="13" spans="2:3" x14ac:dyDescent="0.25">
      <c r="B13" s="3" t="s">
        <v>62</v>
      </c>
      <c r="C13" s="40">
        <v>0.02</v>
      </c>
    </row>
    <row r="14" spans="2:3" x14ac:dyDescent="0.25">
      <c r="B14" s="3" t="s">
        <v>63</v>
      </c>
      <c r="C14" s="40">
        <v>0.05</v>
      </c>
    </row>
    <row r="15" spans="2:3" x14ac:dyDescent="0.25">
      <c r="B15" s="3" t="s">
        <v>64</v>
      </c>
      <c r="C15" s="41">
        <v>0</v>
      </c>
    </row>
    <row r="16" spans="2:3" x14ac:dyDescent="0.25">
      <c r="B16" s="3" t="s">
        <v>65</v>
      </c>
      <c r="C16" s="42">
        <v>50000</v>
      </c>
    </row>
    <row r="17" spans="2:6" x14ac:dyDescent="0.25">
      <c r="B17" s="3" t="s">
        <v>66</v>
      </c>
      <c r="C17" s="43">
        <v>10</v>
      </c>
    </row>
    <row r="19" spans="2:6" x14ac:dyDescent="0.25">
      <c r="B19" s="50" t="s">
        <v>36</v>
      </c>
      <c r="C19" s="51"/>
    </row>
    <row r="20" spans="2:6" x14ac:dyDescent="0.25">
      <c r="B20" s="3" t="s">
        <v>67</v>
      </c>
      <c r="C20" s="8">
        <f>C8-C13</f>
        <v>0.06</v>
      </c>
    </row>
    <row r="21" spans="2:6" ht="18.75" customHeight="1" x14ac:dyDescent="0.3">
      <c r="B21" s="3" t="s">
        <v>68</v>
      </c>
      <c r="C21" s="44">
        <f>N(Berechnungen!C50)</f>
        <v>1</v>
      </c>
    </row>
    <row r="22" spans="2:6" x14ac:dyDescent="0.25">
      <c r="B22" s="3" t="s">
        <v>69</v>
      </c>
      <c r="C22" s="8">
        <f>1-C21</f>
        <v>0</v>
      </c>
    </row>
    <row r="23" spans="2:6" x14ac:dyDescent="0.25">
      <c r="B23" s="3" t="s">
        <v>70</v>
      </c>
      <c r="C23" s="15">
        <f>C16*C21</f>
        <v>50000</v>
      </c>
    </row>
    <row r="24" spans="2:6" x14ac:dyDescent="0.25">
      <c r="B24" s="3" t="s">
        <v>71</v>
      </c>
      <c r="C24" s="8">
        <f>IF(C21&gt;1,C20-(C14-C13),C20-(C12-C13))</f>
        <v>5.7499999999999996E-2</v>
      </c>
    </row>
    <row r="26" spans="2:6" x14ac:dyDescent="0.25">
      <c r="B26" s="50" t="s">
        <v>72</v>
      </c>
      <c r="C26" s="51"/>
      <c r="D26" s="51"/>
      <c r="E26" s="51"/>
    </row>
    <row r="27" spans="2:6" x14ac:dyDescent="0.25">
      <c r="B27" s="10" t="s">
        <v>43</v>
      </c>
      <c r="C27" s="10" t="s">
        <v>45</v>
      </c>
      <c r="D27" s="10" t="s">
        <v>73</v>
      </c>
      <c r="E27" s="10" t="s">
        <v>74</v>
      </c>
      <c r="F27" s="10" t="s">
        <v>75</v>
      </c>
    </row>
    <row r="28" spans="2:6" x14ac:dyDescent="0.25">
      <c r="B28" s="36" t="s">
        <v>46</v>
      </c>
      <c r="C28" s="8">
        <f>$C$21*0.25</f>
        <v>0.25</v>
      </c>
      <c r="D28" s="8">
        <f>1-C28</f>
        <v>0.75</v>
      </c>
      <c r="E28" s="15">
        <f>IF(C28&lt;=1,$C$16*EXP(($C$12+C28*($C$8-$C$12)-0.5*C28^2*$C$9^2)*$C$17),$C$16*EXP(($C$14+C28*($C$8-$C$14)-0.5*C28^2*$C$9^2)*$C$17))</f>
        <v>72070.730540666322</v>
      </c>
      <c r="F28" s="15">
        <f>E28/(1+$C$13)^$C$17</f>
        <v>59123.101269796047</v>
      </c>
    </row>
    <row r="29" spans="2:6" x14ac:dyDescent="0.25">
      <c r="B29" s="36" t="s">
        <v>47</v>
      </c>
      <c r="C29" s="8">
        <f>$C$21*0.5</f>
        <v>0.5</v>
      </c>
      <c r="D29" s="8">
        <f>1-C29</f>
        <v>0.5</v>
      </c>
      <c r="E29" s="15">
        <f>IF(C29&lt;=1,$C$16*EXP(($C$12+C29*($C$8-$C$12)-0.5*C29^2*$C$9^2)*$C$17),$C$16*EXP(($C$14+C29*($C$8-$C$14)-0.5*C29^2*$C$9^2)*$C$17))</f>
        <v>82436.063535006411</v>
      </c>
      <c r="F29" s="15">
        <f>E29/(1+$C$13)^$C$17</f>
        <v>67626.284569342795</v>
      </c>
    </row>
    <row r="30" spans="2:6" x14ac:dyDescent="0.25">
      <c r="B30" s="36" t="s">
        <v>48</v>
      </c>
      <c r="C30" s="8">
        <f>$C$21*1</f>
        <v>1</v>
      </c>
      <c r="D30" s="8">
        <f>1-C30</f>
        <v>0</v>
      </c>
      <c r="E30" s="15">
        <f>IF(C30&lt;=1,$C$16*EXP(($C$12+C30*($C$8-$C$12)-0.5*C30^2*$C$9^2)*$C$17),$C$16*EXP(($C$14+C30*($C$8-$C$14)-0.5*C30^2*$C$9^2)*$C$17))</f>
        <v>105850.00083063374</v>
      </c>
      <c r="F30" s="15">
        <f>E30/(1+$C$13)^$C$17</f>
        <v>86833.868223194164</v>
      </c>
    </row>
    <row r="32" spans="2:6" x14ac:dyDescent="0.25">
      <c r="B32" s="50" t="s">
        <v>76</v>
      </c>
      <c r="C32" s="51"/>
      <c r="D32" s="51"/>
      <c r="E32" s="51"/>
    </row>
    <row r="33" spans="2:6" x14ac:dyDescent="0.25">
      <c r="B33" s="52" t="s">
        <v>77</v>
      </c>
      <c r="C33" s="51"/>
      <c r="D33" s="51"/>
      <c r="E33" s="51"/>
      <c r="F33" s="51"/>
    </row>
    <row r="34" spans="2:6" x14ac:dyDescent="0.25">
      <c r="B34" s="51"/>
      <c r="C34" s="51"/>
      <c r="D34" s="51"/>
      <c r="E34" s="51"/>
      <c r="F34" s="51"/>
    </row>
    <row r="35" spans="2:6" x14ac:dyDescent="0.25">
      <c r="B35" s="51"/>
      <c r="C35" s="51"/>
      <c r="D35" s="51"/>
      <c r="E35" s="51"/>
      <c r="F35" s="51"/>
    </row>
    <row r="37" spans="2:6" x14ac:dyDescent="0.25">
      <c r="B37" s="5" t="s">
        <v>51</v>
      </c>
      <c r="C37" s="5" t="s">
        <v>18</v>
      </c>
      <c r="D37" s="5" t="s">
        <v>20</v>
      </c>
    </row>
  </sheetData>
  <mergeCells count="6">
    <mergeCell ref="B26:E26"/>
    <mergeCell ref="B11:C11"/>
    <mergeCell ref="B19:C19"/>
    <mergeCell ref="B5:C5"/>
    <mergeCell ref="B33:F35"/>
    <mergeCell ref="B32:E32"/>
  </mergeCells>
  <hyperlinks>
    <hyperlink ref="B37" location="'Start'!A1" display="→ Start" xr:uid="{00000000-0004-0000-0200-000000000000}"/>
    <hyperlink ref="C37" location="'Portfolio'!A1" display="→ Portfolio" xr:uid="{00000000-0004-0000-0200-000001000000}"/>
    <hyperlink ref="D37" location="'Anlageuniversum'!A1" display="→ Anlageuniversum" xr:uid="{00000000-0004-0000-0200-000002000000}"/>
  </hyperlinks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43"/>
  <sheetViews>
    <sheetView workbookViewId="0">
      <pane xSplit="1" ySplit="4" topLeftCell="B11" activePane="bottomRight" state="frozen"/>
      <selection pane="topRight"/>
      <selection pane="bottomLeft"/>
      <selection pane="bottomRight" activeCell="B20" sqref="B20"/>
    </sheetView>
  </sheetViews>
  <sheetFormatPr baseColWidth="10" defaultColWidth="9.140625" defaultRowHeight="15" x14ac:dyDescent="0.25"/>
  <cols>
    <col min="1" max="1" width="3" style="35" customWidth="1"/>
    <col min="2" max="2" width="26" style="35" customWidth="1"/>
    <col min="3" max="3" width="11" style="35" customWidth="1"/>
    <col min="4" max="5" width="13" style="35" customWidth="1"/>
    <col min="6" max="6" width="12" style="35" customWidth="1"/>
    <col min="7" max="8" width="13" style="35" customWidth="1"/>
  </cols>
  <sheetData>
    <row r="2" spans="2:8" ht="23.25" customHeight="1" x14ac:dyDescent="0.35">
      <c r="B2" s="1" t="s">
        <v>78</v>
      </c>
    </row>
    <row r="3" spans="2:8" x14ac:dyDescent="0.25">
      <c r="B3" s="2" t="s">
        <v>79</v>
      </c>
    </row>
    <row r="5" spans="2:8" x14ac:dyDescent="0.25">
      <c r="B5" s="50" t="s">
        <v>80</v>
      </c>
      <c r="C5" s="51"/>
    </row>
    <row r="6" spans="2:8" x14ac:dyDescent="0.25">
      <c r="B6" s="3" t="s">
        <v>61</v>
      </c>
      <c r="C6" s="8">
        <f>N(Anlageuniversum!C24)</f>
        <v>2.2375011242911368E-2</v>
      </c>
    </row>
    <row r="7" spans="2:8" x14ac:dyDescent="0.25">
      <c r="B7" s="3" t="s">
        <v>62</v>
      </c>
      <c r="C7" s="8">
        <f>N(Anlageuniversum!C25)</f>
        <v>0.02</v>
      </c>
    </row>
    <row r="8" spans="2:8" x14ac:dyDescent="0.25">
      <c r="B8" s="3" t="s">
        <v>63</v>
      </c>
      <c r="C8" s="8">
        <f>N(Anlageuniversum!C26)</f>
        <v>0.05</v>
      </c>
    </row>
    <row r="9" spans="2:8" x14ac:dyDescent="0.25">
      <c r="B9" s="3" t="s">
        <v>64</v>
      </c>
      <c r="C9" s="4">
        <f>N(Anlageuniversum!C27)</f>
        <v>0</v>
      </c>
    </row>
    <row r="10" spans="2:8" x14ac:dyDescent="0.25">
      <c r="B10" s="3" t="s">
        <v>65</v>
      </c>
      <c r="C10" s="15">
        <f>N(Anlageuniversum!C28)</f>
        <v>50000</v>
      </c>
    </row>
    <row r="11" spans="2:8" x14ac:dyDescent="0.25">
      <c r="B11" s="3" t="s">
        <v>66</v>
      </c>
      <c r="C11" s="16">
        <f>N(Anlageuniversum!C29)</f>
        <v>10</v>
      </c>
    </row>
    <row r="12" spans="2:8" x14ac:dyDescent="0.25">
      <c r="B12" s="3" t="s">
        <v>81</v>
      </c>
      <c r="C12" s="11">
        <f>N(Anlageuniversum!C30)</f>
        <v>0.5</v>
      </c>
    </row>
    <row r="14" spans="2:8" x14ac:dyDescent="0.25">
      <c r="B14" s="50" t="s">
        <v>82</v>
      </c>
      <c r="C14" s="51"/>
      <c r="D14" s="51"/>
      <c r="E14" s="51"/>
      <c r="F14" s="51"/>
      <c r="G14" s="51"/>
      <c r="H14" s="51"/>
    </row>
    <row r="15" spans="2:8" x14ac:dyDescent="0.25">
      <c r="B15" s="10" t="s">
        <v>54</v>
      </c>
      <c r="C15" s="10" t="s">
        <v>83</v>
      </c>
      <c r="D15" s="10" t="s">
        <v>84</v>
      </c>
      <c r="E15" s="10" t="s">
        <v>85</v>
      </c>
      <c r="F15" s="10" t="s">
        <v>86</v>
      </c>
      <c r="G15" s="10" t="s">
        <v>87</v>
      </c>
      <c r="H15" s="10" t="s">
        <v>88</v>
      </c>
    </row>
    <row r="16" spans="2:8" x14ac:dyDescent="0.25">
      <c r="B16" s="36" t="s">
        <v>56</v>
      </c>
      <c r="C16" s="4">
        <f>N(Anlageuniversum!F6)</f>
        <v>1</v>
      </c>
      <c r="D16" s="8">
        <f>N(Anlageuniversum!K6)</f>
        <v>0.13365899544286611</v>
      </c>
      <c r="E16" s="8">
        <f>N(Anlageuniversum!L6)</f>
        <v>0.14884955625914439</v>
      </c>
      <c r="F16" s="8">
        <f>N(Berechnungen!C82)</f>
        <v>0.62365784747967112</v>
      </c>
      <c r="G16" s="8">
        <f>N(Berechnungen!C92)</f>
        <v>0.31182892373983556</v>
      </c>
      <c r="H16" s="15">
        <f>$C$10*G16</f>
        <v>15591.446186991778</v>
      </c>
    </row>
    <row r="17" spans="2:8" x14ac:dyDescent="0.25">
      <c r="B17" s="36" t="s">
        <v>89</v>
      </c>
      <c r="C17" s="4">
        <f>N(Anlageuniversum!F7)</f>
        <v>1</v>
      </c>
      <c r="D17" s="8">
        <f>N(Anlageuniversum!K7)</f>
        <v>0.73066889952470127</v>
      </c>
      <c r="E17" s="8">
        <f>N(Anlageuniversum!L7)</f>
        <v>0.74134717608039102</v>
      </c>
      <c r="F17" s="8">
        <f>N(Berechnungen!C83)</f>
        <v>7.80215135699171E-2</v>
      </c>
      <c r="G17" s="8">
        <f>N(Berechnungen!C93)</f>
        <v>3.901075678495855E-2</v>
      </c>
      <c r="H17" s="15">
        <f>$C$10*G17</f>
        <v>1950.5378392479274</v>
      </c>
    </row>
    <row r="18" spans="2:8" x14ac:dyDescent="0.25">
      <c r="B18" s="36" t="s">
        <v>90</v>
      </c>
      <c r="C18" s="4">
        <f>N(Anlageuniversum!F8)</f>
        <v>1</v>
      </c>
      <c r="D18" s="8">
        <f>N(Anlageuniversum!K8)</f>
        <v>0.1217217837512664</v>
      </c>
      <c r="E18" s="8">
        <f>N(Anlageuniversum!L8)</f>
        <v>0.15099625327741589</v>
      </c>
      <c r="F18" s="8">
        <f>N(Berechnungen!C84)</f>
        <v>0.29832063895041183</v>
      </c>
      <c r="G18" s="8">
        <f>N(Berechnungen!C94)</f>
        <v>0.14916031947520592</v>
      </c>
      <c r="H18" s="15">
        <f>$C$10*G18</f>
        <v>7458.0159737602962</v>
      </c>
    </row>
    <row r="19" spans="2:8" x14ac:dyDescent="0.25">
      <c r="B19" s="36" t="s">
        <v>91</v>
      </c>
      <c r="C19" s="4">
        <f>N(Anlageuniversum!F9)</f>
        <v>1</v>
      </c>
      <c r="D19" s="8">
        <f>N(Anlageuniversum!K9)</f>
        <v>6.6463788039165056E-2</v>
      </c>
      <c r="E19" s="8">
        <f>N(Anlageuniversum!L9)</f>
        <v>0.1763200309769917</v>
      </c>
      <c r="F19" s="8">
        <f>N(Berechnungen!C85)</f>
        <v>0</v>
      </c>
      <c r="G19" s="8">
        <f>N(Berechnungen!C95)</f>
        <v>0</v>
      </c>
      <c r="H19" s="15">
        <f>$C$10*G19</f>
        <v>0</v>
      </c>
    </row>
    <row r="20" spans="2:8" x14ac:dyDescent="0.25">
      <c r="B20" s="18" t="s">
        <v>69</v>
      </c>
      <c r="F20" s="8">
        <f>N(Berechnungen!C88)</f>
        <v>0</v>
      </c>
      <c r="G20" s="8">
        <f>N(Berechnungen!C98)</f>
        <v>0.5</v>
      </c>
      <c r="H20" s="15">
        <f>$C$10*G20</f>
        <v>25000</v>
      </c>
    </row>
    <row r="21" spans="2:8" x14ac:dyDescent="0.25">
      <c r="B21" s="18" t="s">
        <v>92</v>
      </c>
      <c r="G21" s="8">
        <f>SUM(G16:G20)</f>
        <v>1</v>
      </c>
      <c r="H21" s="15">
        <f>$C$10</f>
        <v>50000</v>
      </c>
    </row>
    <row r="23" spans="2:8" x14ac:dyDescent="0.25">
      <c r="B23" s="50" t="s">
        <v>93</v>
      </c>
      <c r="C23" s="51"/>
    </row>
    <row r="24" spans="2:8" ht="18.75" customHeight="1" x14ac:dyDescent="0.3">
      <c r="B24" s="3" t="s">
        <v>94</v>
      </c>
      <c r="C24" s="17">
        <f>N(Berechnungen!C97)</f>
        <v>0.5</v>
      </c>
    </row>
    <row r="25" spans="2:8" x14ac:dyDescent="0.25">
      <c r="B25" s="3" t="s">
        <v>95</v>
      </c>
      <c r="C25" s="8">
        <f>N(Berechnungen!C100)</f>
        <v>9.9526253199674466E-2</v>
      </c>
    </row>
    <row r="26" spans="2:8" x14ac:dyDescent="0.25">
      <c r="B26" s="3" t="s">
        <v>96</v>
      </c>
      <c r="C26" s="8">
        <f>N(Berechnungen!C101)</f>
        <v>6.9649760629820173E-2</v>
      </c>
    </row>
    <row r="27" spans="2:8" ht="18.75" customHeight="1" x14ac:dyDescent="0.3">
      <c r="B27" s="3" t="s">
        <v>74</v>
      </c>
      <c r="C27" s="19">
        <f>N(Berechnungen!C103)</f>
        <v>132030.12175215766</v>
      </c>
    </row>
    <row r="28" spans="2:8" x14ac:dyDescent="0.25">
      <c r="B28" s="3" t="s">
        <v>75</v>
      </c>
      <c r="C28" s="15">
        <f>N(Berechnungen!C104)</f>
        <v>108310.6859116923</v>
      </c>
    </row>
    <row r="30" spans="2:8" x14ac:dyDescent="0.25">
      <c r="B30" s="50" t="s">
        <v>97</v>
      </c>
      <c r="C30" s="51"/>
      <c r="D30" s="51"/>
      <c r="E30" s="51"/>
      <c r="F30" s="51"/>
    </row>
    <row r="31" spans="2:8" ht="30" customHeight="1" x14ac:dyDescent="0.25">
      <c r="B31" s="10"/>
      <c r="C31" s="10" t="s">
        <v>56</v>
      </c>
      <c r="D31" s="10" t="s">
        <v>89</v>
      </c>
      <c r="E31" s="10" t="s">
        <v>90</v>
      </c>
      <c r="F31" s="10" t="s">
        <v>91</v>
      </c>
    </row>
    <row r="32" spans="2:8" x14ac:dyDescent="0.25">
      <c r="B32" s="3" t="s">
        <v>56</v>
      </c>
      <c r="C32" s="20">
        <f>N(Berechnungen!C18)</f>
        <v>1</v>
      </c>
      <c r="D32" s="20">
        <f>N(Berechnungen!D18)</f>
        <v>0.32462867983185423</v>
      </c>
      <c r="E32" s="20">
        <f>N(Berechnungen!E18)</f>
        <v>0.17894219708059231</v>
      </c>
      <c r="F32" s="20">
        <f>N(Berechnungen!F18)</f>
        <v>0.79917874075280326</v>
      </c>
    </row>
    <row r="33" spans="2:8" x14ac:dyDescent="0.25">
      <c r="B33" s="3" t="s">
        <v>89</v>
      </c>
      <c r="C33" s="20">
        <f>N(Berechnungen!C19)</f>
        <v>0.32462867983185423</v>
      </c>
      <c r="D33" s="20">
        <f>N(Berechnungen!D19)</f>
        <v>1</v>
      </c>
      <c r="E33" s="20">
        <f>N(Berechnungen!E19)</f>
        <v>8.239866326555785E-2</v>
      </c>
      <c r="F33" s="20">
        <f>N(Berechnungen!F19)</f>
        <v>0.24429989060367169</v>
      </c>
    </row>
    <row r="34" spans="2:8" x14ac:dyDescent="0.25">
      <c r="B34" s="3" t="s">
        <v>90</v>
      </c>
      <c r="C34" s="20">
        <f>N(Berechnungen!C20)</f>
        <v>0.17894219708059231</v>
      </c>
      <c r="D34" s="20">
        <f>N(Berechnungen!D20)</f>
        <v>8.239866326555785E-2</v>
      </c>
      <c r="E34" s="20">
        <f>N(Berechnungen!E20)</f>
        <v>1</v>
      </c>
      <c r="F34" s="20">
        <f>N(Berechnungen!F20)</f>
        <v>0.20987673386192141</v>
      </c>
    </row>
    <row r="35" spans="2:8" x14ac:dyDescent="0.25">
      <c r="B35" s="3" t="s">
        <v>91</v>
      </c>
      <c r="C35" s="20">
        <f>N(Berechnungen!C21)</f>
        <v>0.79917874075280326</v>
      </c>
      <c r="D35" s="20">
        <f>N(Berechnungen!D21)</f>
        <v>0.24429989060367169</v>
      </c>
      <c r="E35" s="20">
        <f>N(Berechnungen!E21)</f>
        <v>0.20987673386192141</v>
      </c>
      <c r="F35" s="20">
        <f>N(Berechnungen!F21)</f>
        <v>1</v>
      </c>
    </row>
    <row r="37" spans="2:8" x14ac:dyDescent="0.25">
      <c r="B37" s="50" t="s">
        <v>98</v>
      </c>
      <c r="C37" s="51"/>
      <c r="D37" s="51"/>
      <c r="E37" s="51"/>
      <c r="F37" s="51"/>
    </row>
    <row r="38" spans="2:8" x14ac:dyDescent="0.25">
      <c r="B38" s="52" t="s">
        <v>99</v>
      </c>
      <c r="C38" s="51"/>
      <c r="D38" s="51"/>
      <c r="E38" s="51"/>
      <c r="F38" s="51"/>
      <c r="G38" s="51"/>
      <c r="H38" s="51"/>
    </row>
    <row r="39" spans="2:8" x14ac:dyDescent="0.25">
      <c r="B39" s="51"/>
      <c r="C39" s="51"/>
      <c r="D39" s="51"/>
      <c r="E39" s="51"/>
      <c r="F39" s="51"/>
      <c r="G39" s="51"/>
      <c r="H39" s="51"/>
    </row>
    <row r="40" spans="2:8" x14ac:dyDescent="0.25">
      <c r="B40" s="51"/>
      <c r="C40" s="51"/>
      <c r="D40" s="51"/>
      <c r="E40" s="51"/>
      <c r="F40" s="51"/>
      <c r="G40" s="51"/>
      <c r="H40" s="51"/>
    </row>
    <row r="41" spans="2:8" x14ac:dyDescent="0.25">
      <c r="B41" s="51"/>
      <c r="C41" s="51"/>
      <c r="D41" s="51"/>
      <c r="E41" s="51"/>
      <c r="F41" s="51"/>
      <c r="G41" s="51"/>
      <c r="H41" s="51"/>
    </row>
    <row r="43" spans="2:8" x14ac:dyDescent="0.25">
      <c r="B43" s="5" t="s">
        <v>51</v>
      </c>
      <c r="C43" s="5" t="s">
        <v>22</v>
      </c>
      <c r="D43" s="5" t="s">
        <v>24</v>
      </c>
    </row>
  </sheetData>
  <mergeCells count="6">
    <mergeCell ref="B38:H41"/>
    <mergeCell ref="B30:F30"/>
    <mergeCell ref="B14:H14"/>
    <mergeCell ref="B5:C5"/>
    <mergeCell ref="B23:C23"/>
    <mergeCell ref="B37:F37"/>
  </mergeCells>
  <hyperlinks>
    <hyperlink ref="B43" location="'Start'!A1" display="→ Start" xr:uid="{00000000-0004-0000-0300-000000000000}"/>
    <hyperlink ref="C43" location="'Monatsdaten'!A1" display="→ Monatsdaten" xr:uid="{00000000-0004-0000-0300-000001000000}"/>
    <hyperlink ref="D43" location="'Berechnungen'!A1" display="→ Berechnungen" xr:uid="{00000000-0004-0000-0300-000002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M34"/>
  <sheetViews>
    <sheetView workbookViewId="0">
      <pane xSplit="1" ySplit="4" topLeftCell="B5" activePane="bottomRight" state="frozen"/>
      <selection pane="topRight"/>
      <selection pane="bottomLeft"/>
      <selection pane="bottomRight" activeCell="J30" sqref="J30"/>
    </sheetView>
  </sheetViews>
  <sheetFormatPr baseColWidth="10" defaultColWidth="9.140625" defaultRowHeight="15" x14ac:dyDescent="0.25"/>
  <cols>
    <col min="1" max="1" width="3" style="35" customWidth="1"/>
    <col min="2" max="2" width="25.85546875" style="35" customWidth="1"/>
    <col min="3" max="3" width="20" style="35" customWidth="1"/>
    <col min="4" max="5" width="12" style="35" customWidth="1"/>
    <col min="6" max="6" width="9" style="35" customWidth="1"/>
    <col min="7" max="12" width="12" style="35" customWidth="1"/>
    <col min="13" max="13" width="36" style="35" customWidth="1"/>
  </cols>
  <sheetData>
    <row r="2" spans="2:13" ht="23.25" customHeight="1" x14ac:dyDescent="0.35">
      <c r="B2" s="1" t="s">
        <v>100</v>
      </c>
    </row>
    <row r="3" spans="2:13" x14ac:dyDescent="0.25">
      <c r="B3" s="2" t="s">
        <v>101</v>
      </c>
    </row>
    <row r="5" spans="2:13" ht="30" customHeight="1" x14ac:dyDescent="0.25">
      <c r="B5" s="10" t="s">
        <v>102</v>
      </c>
      <c r="C5" s="10" t="s">
        <v>103</v>
      </c>
      <c r="D5" s="10" t="s">
        <v>104</v>
      </c>
      <c r="E5" s="10" t="s">
        <v>105</v>
      </c>
      <c r="F5" s="10" t="s">
        <v>83</v>
      </c>
      <c r="G5" s="10" t="s">
        <v>106</v>
      </c>
      <c r="H5" s="10" t="s">
        <v>107</v>
      </c>
      <c r="I5" s="10" t="s">
        <v>108</v>
      </c>
      <c r="J5" s="10" t="s">
        <v>109</v>
      </c>
      <c r="K5" s="10" t="s">
        <v>110</v>
      </c>
      <c r="L5" s="10" t="s">
        <v>111</v>
      </c>
      <c r="M5" s="10" t="s">
        <v>112</v>
      </c>
    </row>
    <row r="6" spans="2:13" x14ac:dyDescent="0.25">
      <c r="B6" s="21">
        <v>1</v>
      </c>
      <c r="C6" s="22" t="s">
        <v>56</v>
      </c>
      <c r="D6" s="22" t="s">
        <v>113</v>
      </c>
      <c r="E6" s="22" t="s">
        <v>114</v>
      </c>
      <c r="F6" s="13">
        <v>1</v>
      </c>
      <c r="G6" s="8">
        <v>0.13365899544286611</v>
      </c>
      <c r="H6" s="8">
        <v>0.14884955625914439</v>
      </c>
      <c r="I6" s="23"/>
      <c r="J6" s="23"/>
      <c r="K6" s="8">
        <f t="shared" ref="K6:L9" si="0">IF(ISNUMBER(I6),I6,G6)</f>
        <v>0.13365899544286611</v>
      </c>
      <c r="L6" s="8">
        <f t="shared" si="0"/>
        <v>0.14884955625914439</v>
      </c>
      <c r="M6" s="36" t="s">
        <v>115</v>
      </c>
    </row>
    <row r="7" spans="2:13" x14ac:dyDescent="0.25">
      <c r="B7" s="21">
        <v>2</v>
      </c>
      <c r="C7" s="22" t="s">
        <v>89</v>
      </c>
      <c r="D7" s="22" t="s">
        <v>116</v>
      </c>
      <c r="E7" s="22" t="s">
        <v>114</v>
      </c>
      <c r="F7" s="13">
        <v>1</v>
      </c>
      <c r="G7" s="8">
        <v>0.73066889952470127</v>
      </c>
      <c r="H7" s="8">
        <v>0.74134717608039102</v>
      </c>
      <c r="I7" s="23"/>
      <c r="J7" s="23"/>
      <c r="K7" s="8">
        <f t="shared" si="0"/>
        <v>0.73066889952470127</v>
      </c>
      <c r="L7" s="8">
        <f t="shared" si="0"/>
        <v>0.74134717608039102</v>
      </c>
      <c r="M7" s="36" t="s">
        <v>115</v>
      </c>
    </row>
    <row r="8" spans="2:13" x14ac:dyDescent="0.25">
      <c r="B8" s="21">
        <v>3</v>
      </c>
      <c r="C8" s="22" t="s">
        <v>90</v>
      </c>
      <c r="D8" s="22" t="s">
        <v>117</v>
      </c>
      <c r="E8" s="22" t="s">
        <v>114</v>
      </c>
      <c r="F8" s="13">
        <v>1</v>
      </c>
      <c r="G8" s="8">
        <v>0.1217217837512664</v>
      </c>
      <c r="H8" s="8">
        <v>0.15099625327741589</v>
      </c>
      <c r="I8" s="23"/>
      <c r="J8" s="23"/>
      <c r="K8" s="8">
        <f t="shared" si="0"/>
        <v>0.1217217837512664</v>
      </c>
      <c r="L8" s="8">
        <f t="shared" si="0"/>
        <v>0.15099625327741589</v>
      </c>
      <c r="M8" s="36" t="s">
        <v>115</v>
      </c>
    </row>
    <row r="9" spans="2:13" x14ac:dyDescent="0.25">
      <c r="B9" s="21">
        <v>4</v>
      </c>
      <c r="C9" s="22" t="s">
        <v>91</v>
      </c>
      <c r="D9" s="22" t="s">
        <v>118</v>
      </c>
      <c r="E9" s="22" t="s">
        <v>114</v>
      </c>
      <c r="F9" s="13">
        <v>1</v>
      </c>
      <c r="G9" s="8">
        <v>6.6463788039165056E-2</v>
      </c>
      <c r="H9" s="8">
        <v>0.1763200309769917</v>
      </c>
      <c r="I9" s="23"/>
      <c r="J9" s="23"/>
      <c r="K9" s="8">
        <f t="shared" si="0"/>
        <v>6.6463788039165056E-2</v>
      </c>
      <c r="L9" s="8">
        <f t="shared" si="0"/>
        <v>0.1763200309769917</v>
      </c>
      <c r="M9" s="36" t="s">
        <v>115</v>
      </c>
    </row>
    <row r="10" spans="2:13" x14ac:dyDescent="0.25">
      <c r="B10" s="21">
        <v>5</v>
      </c>
      <c r="C10" s="22" t="s">
        <v>119</v>
      </c>
      <c r="D10" s="13"/>
      <c r="E10" s="13" t="s">
        <v>120</v>
      </c>
      <c r="F10" s="13">
        <v>0</v>
      </c>
      <c r="G10" s="8">
        <f>N(Berechnungen!G10)</f>
        <v>0</v>
      </c>
      <c r="H10" s="8">
        <f ca="1">N(Berechnungen!H10)</f>
        <v>0</v>
      </c>
      <c r="I10" s="23"/>
      <c r="J10" s="23"/>
      <c r="K10" s="8">
        <f t="shared" ref="K10:L13" si="1">IF(ISNUMBER(I10),I10,IF(N(G10)&gt;0,G10,0))</f>
        <v>0</v>
      </c>
      <c r="L10" s="8">
        <f t="shared" ca="1" si="1"/>
        <v>0</v>
      </c>
      <c r="M10" s="36" t="s">
        <v>121</v>
      </c>
    </row>
    <row r="11" spans="2:13" x14ac:dyDescent="0.25">
      <c r="B11" s="21">
        <v>6</v>
      </c>
      <c r="C11" s="22" t="s">
        <v>122</v>
      </c>
      <c r="D11" s="13"/>
      <c r="E11" s="13" t="s">
        <v>120</v>
      </c>
      <c r="F11" s="13">
        <v>0</v>
      </c>
      <c r="G11" s="8">
        <f>N(Berechnungen!G11)</f>
        <v>0</v>
      </c>
      <c r="H11" s="8">
        <f ca="1">N(Berechnungen!H11)</f>
        <v>0</v>
      </c>
      <c r="I11" s="23"/>
      <c r="J11" s="23"/>
      <c r="K11" s="8">
        <f t="shared" si="1"/>
        <v>0</v>
      </c>
      <c r="L11" s="8">
        <f t="shared" ca="1" si="1"/>
        <v>0</v>
      </c>
      <c r="M11" s="36" t="s">
        <v>121</v>
      </c>
    </row>
    <row r="12" spans="2:13" x14ac:dyDescent="0.25">
      <c r="B12" s="21">
        <v>7</v>
      </c>
      <c r="C12" s="22" t="s">
        <v>123</v>
      </c>
      <c r="D12" s="13"/>
      <c r="E12" s="13" t="s">
        <v>120</v>
      </c>
      <c r="F12" s="13">
        <v>0</v>
      </c>
      <c r="G12" s="8">
        <f>N(Berechnungen!G12)</f>
        <v>0</v>
      </c>
      <c r="H12" s="8">
        <f ca="1">N(Berechnungen!H12)</f>
        <v>0</v>
      </c>
      <c r="I12" s="23"/>
      <c r="J12" s="23"/>
      <c r="K12" s="8">
        <f t="shared" si="1"/>
        <v>0</v>
      </c>
      <c r="L12" s="8">
        <f t="shared" ca="1" si="1"/>
        <v>0</v>
      </c>
      <c r="M12" s="36" t="s">
        <v>121</v>
      </c>
    </row>
    <row r="13" spans="2:13" x14ac:dyDescent="0.25">
      <c r="B13" s="21">
        <v>8</v>
      </c>
      <c r="C13" s="22" t="s">
        <v>124</v>
      </c>
      <c r="D13" s="13"/>
      <c r="E13" s="13" t="s">
        <v>120</v>
      </c>
      <c r="F13" s="13">
        <v>0</v>
      </c>
      <c r="G13" s="8">
        <f>N(Berechnungen!G13)</f>
        <v>0</v>
      </c>
      <c r="H13" s="8">
        <f ca="1">N(Berechnungen!H13)</f>
        <v>0</v>
      </c>
      <c r="I13" s="23"/>
      <c r="J13" s="23"/>
      <c r="K13" s="8">
        <f t="shared" si="1"/>
        <v>0</v>
      </c>
      <c r="L13" s="8">
        <f t="shared" ca="1" si="1"/>
        <v>0</v>
      </c>
      <c r="M13" s="36" t="s">
        <v>121</v>
      </c>
    </row>
    <row r="14" spans="2:13" x14ac:dyDescent="0.25">
      <c r="B14" s="21">
        <v>9</v>
      </c>
      <c r="C14" s="22" t="s">
        <v>125</v>
      </c>
      <c r="D14" s="22" t="s">
        <v>126</v>
      </c>
      <c r="E14" s="22" t="s">
        <v>7</v>
      </c>
      <c r="F14" s="13">
        <v>0</v>
      </c>
      <c r="G14" s="8">
        <v>2.2375011242911368E-2</v>
      </c>
      <c r="H14" s="8">
        <v>5.6023619144526544E-3</v>
      </c>
      <c r="I14" s="23"/>
      <c r="J14" s="23"/>
      <c r="K14" s="8">
        <f>IF(ISNUMBER(I14),I14,G14)</f>
        <v>2.2375011242911368E-2</v>
      </c>
      <c r="L14" s="8">
        <f>IF(ISNUMBER(J14),J14,H14)</f>
        <v>5.6023619144526544E-3</v>
      </c>
      <c r="M14" s="36" t="s">
        <v>127</v>
      </c>
    </row>
    <row r="16" spans="2:13" x14ac:dyDescent="0.25">
      <c r="B16" s="50" t="s">
        <v>128</v>
      </c>
      <c r="C16" s="51"/>
      <c r="D16" s="51"/>
      <c r="E16" s="51"/>
      <c r="F16" s="51"/>
      <c r="G16" s="51"/>
      <c r="H16" s="51"/>
    </row>
    <row r="17" spans="2:12" x14ac:dyDescent="0.25">
      <c r="C17" s="10"/>
      <c r="D17" s="10" t="s">
        <v>56</v>
      </c>
      <c r="E17" s="10" t="s">
        <v>89</v>
      </c>
      <c r="F17" s="10" t="s">
        <v>90</v>
      </c>
      <c r="G17" s="10" t="s">
        <v>91</v>
      </c>
    </row>
    <row r="18" spans="2:12" x14ac:dyDescent="0.25">
      <c r="C18" s="24" t="s">
        <v>56</v>
      </c>
      <c r="D18" s="25">
        <v>1</v>
      </c>
      <c r="E18" s="25">
        <v>0.32462867983185423</v>
      </c>
      <c r="F18" s="25">
        <v>0.17894219708059231</v>
      </c>
      <c r="G18" s="25">
        <v>0.79917874075280326</v>
      </c>
    </row>
    <row r="19" spans="2:12" x14ac:dyDescent="0.25">
      <c r="C19" s="24" t="s">
        <v>89</v>
      </c>
      <c r="D19" s="25">
        <v>0.32462867983185423</v>
      </c>
      <c r="E19" s="25">
        <v>1</v>
      </c>
      <c r="F19" s="25">
        <v>8.239866326555785E-2</v>
      </c>
      <c r="G19" s="25">
        <v>0.24429989060367169</v>
      </c>
    </row>
    <row r="20" spans="2:12" x14ac:dyDescent="0.25">
      <c r="C20" s="24" t="s">
        <v>90</v>
      </c>
      <c r="D20" s="25">
        <v>0.17894219708059231</v>
      </c>
      <c r="E20" s="25">
        <v>8.239866326555785E-2</v>
      </c>
      <c r="F20" s="25">
        <v>1</v>
      </c>
      <c r="G20" s="25">
        <v>0.20987673386192141</v>
      </c>
    </row>
    <row r="21" spans="2:12" x14ac:dyDescent="0.25">
      <c r="C21" s="24" t="s">
        <v>91</v>
      </c>
      <c r="D21" s="25">
        <v>0.79917874075280326</v>
      </c>
      <c r="E21" s="25">
        <v>0.24429989060367169</v>
      </c>
      <c r="F21" s="25">
        <v>0.20987673386192141</v>
      </c>
      <c r="G21" s="25">
        <v>1</v>
      </c>
    </row>
    <row r="23" spans="2:12" x14ac:dyDescent="0.25">
      <c r="B23" s="50" t="s">
        <v>129</v>
      </c>
      <c r="C23" s="51"/>
      <c r="D23" s="51"/>
    </row>
    <row r="24" spans="2:12" x14ac:dyDescent="0.25">
      <c r="B24" s="3" t="s">
        <v>130</v>
      </c>
      <c r="C24" s="23">
        <v>2.2375011242911368E-2</v>
      </c>
    </row>
    <row r="25" spans="2:12" x14ac:dyDescent="0.25">
      <c r="B25" s="3" t="s">
        <v>131</v>
      </c>
      <c r="C25" s="23">
        <v>0.02</v>
      </c>
    </row>
    <row r="26" spans="2:12" x14ac:dyDescent="0.25">
      <c r="B26" s="3" t="s">
        <v>132</v>
      </c>
      <c r="C26" s="23">
        <v>0.05</v>
      </c>
    </row>
    <row r="27" spans="2:12" x14ac:dyDescent="0.25">
      <c r="B27" s="3" t="s">
        <v>133</v>
      </c>
      <c r="C27" s="13">
        <v>0</v>
      </c>
    </row>
    <row r="28" spans="2:12" x14ac:dyDescent="0.25">
      <c r="B28" s="3" t="s">
        <v>134</v>
      </c>
      <c r="C28" s="7">
        <v>50000</v>
      </c>
    </row>
    <row r="29" spans="2:12" x14ac:dyDescent="0.25">
      <c r="B29" s="3" t="s">
        <v>66</v>
      </c>
      <c r="C29" s="14">
        <v>10</v>
      </c>
    </row>
    <row r="30" spans="2:12" x14ac:dyDescent="0.25">
      <c r="B30" s="3" t="s">
        <v>135</v>
      </c>
      <c r="C30" s="26">
        <v>0.5</v>
      </c>
    </row>
    <row r="32" spans="2:12" x14ac:dyDescent="0.25">
      <c r="B32" s="53" t="s">
        <v>136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</row>
    <row r="34" spans="2:2" x14ac:dyDescent="0.25">
      <c r="B34" s="5" t="s">
        <v>51</v>
      </c>
    </row>
  </sheetData>
  <mergeCells count="3">
    <mergeCell ref="B23:D23"/>
    <mergeCell ref="B16:H16"/>
    <mergeCell ref="B32:L32"/>
  </mergeCells>
  <hyperlinks>
    <hyperlink ref="B34" location="'Start'!A1" display="→ Start" xr:uid="{00000000-0004-0000-0400-000000000000}"/>
  </hyperlinks>
  <pageMargins left="0.75" right="0.75" top="1" bottom="1" header="0.5" footer="0.5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A126"/>
  <sheetViews>
    <sheetView workbookViewId="0">
      <pane xSplit="2" ySplit="6" topLeftCell="C7" activePane="bottomRight" state="frozen"/>
      <selection pane="topRight"/>
      <selection pane="bottomLeft"/>
      <selection pane="bottomRight" activeCell="A129" sqref="A129:XFD129"/>
    </sheetView>
  </sheetViews>
  <sheetFormatPr baseColWidth="10" defaultColWidth="9.140625" defaultRowHeight="15" x14ac:dyDescent="0.25"/>
  <cols>
    <col min="1" max="1" width="3" style="35" customWidth="1"/>
    <col min="2" max="2" width="12" style="35" customWidth="1"/>
    <col min="3" max="27" width="11" style="35" customWidth="1"/>
  </cols>
  <sheetData>
    <row r="2" spans="2:22" ht="23.25" customHeight="1" x14ac:dyDescent="0.35">
      <c r="B2" s="1" t="s">
        <v>137</v>
      </c>
    </row>
    <row r="3" spans="2:22" x14ac:dyDescent="0.25">
      <c r="B3" s="2" t="s">
        <v>138</v>
      </c>
    </row>
    <row r="5" spans="2:22" x14ac:dyDescent="0.25">
      <c r="B5" s="34" t="s">
        <v>139</v>
      </c>
      <c r="M5" s="34" t="s">
        <v>140</v>
      </c>
    </row>
    <row r="6" spans="2:22" ht="30" customHeight="1" x14ac:dyDescent="0.25">
      <c r="B6" s="10" t="s">
        <v>141</v>
      </c>
      <c r="C6" s="10" t="s">
        <v>56</v>
      </c>
      <c r="D6" s="10" t="s">
        <v>89</v>
      </c>
      <c r="E6" s="10" t="s">
        <v>90</v>
      </c>
      <c r="F6" s="10" t="s">
        <v>91</v>
      </c>
      <c r="G6" s="10" t="s">
        <v>125</v>
      </c>
      <c r="H6" s="10" t="s">
        <v>119</v>
      </c>
      <c r="I6" s="10" t="s">
        <v>122</v>
      </c>
      <c r="J6" s="10" t="s">
        <v>123</v>
      </c>
      <c r="K6" s="10" t="s">
        <v>124</v>
      </c>
      <c r="M6" s="10" t="s">
        <v>141</v>
      </c>
      <c r="N6" s="10" t="s">
        <v>56</v>
      </c>
      <c r="O6" s="10" t="s">
        <v>89</v>
      </c>
      <c r="P6" s="10" t="s">
        <v>90</v>
      </c>
      <c r="Q6" s="10" t="s">
        <v>91</v>
      </c>
      <c r="R6" s="10" t="s">
        <v>125</v>
      </c>
      <c r="S6" s="10" t="s">
        <v>119</v>
      </c>
      <c r="T6" s="10" t="s">
        <v>122</v>
      </c>
      <c r="U6" s="10" t="s">
        <v>123</v>
      </c>
      <c r="V6" s="10" t="s">
        <v>124</v>
      </c>
    </row>
    <row r="7" spans="2:22" x14ac:dyDescent="0.25">
      <c r="B7" s="45">
        <v>42583</v>
      </c>
      <c r="C7" s="27">
        <v>60.654956817626953</v>
      </c>
      <c r="D7" s="27">
        <v>575.47198486328125</v>
      </c>
      <c r="E7" s="27">
        <v>124.7799987792969</v>
      </c>
      <c r="F7" s="27">
        <v>59.847793579101563</v>
      </c>
      <c r="G7" s="27">
        <v>73.244041442871094</v>
      </c>
      <c r="H7" s="28"/>
      <c r="I7" s="28"/>
      <c r="J7" s="28"/>
      <c r="K7" s="28"/>
      <c r="M7" s="45">
        <f t="shared" ref="M7:M38" si="0">B7</f>
        <v>42583</v>
      </c>
      <c r="N7" s="29">
        <v>0</v>
      </c>
      <c r="O7" s="29">
        <v>0</v>
      </c>
      <c r="P7" s="29">
        <v>0</v>
      </c>
      <c r="Q7" s="29">
        <v>0</v>
      </c>
      <c r="R7" s="29">
        <v>0</v>
      </c>
      <c r="S7" s="29">
        <v>0</v>
      </c>
      <c r="T7" s="29">
        <v>0</v>
      </c>
      <c r="U7" s="29">
        <v>0</v>
      </c>
      <c r="V7" s="29">
        <v>0</v>
      </c>
    </row>
    <row r="8" spans="2:22" x14ac:dyDescent="0.25">
      <c r="B8" s="45">
        <v>42614</v>
      </c>
      <c r="C8" s="27">
        <v>60.830783843994141</v>
      </c>
      <c r="D8" s="27">
        <v>609.7349853515625</v>
      </c>
      <c r="E8" s="27">
        <v>125.63999938964839</v>
      </c>
      <c r="F8" s="27">
        <v>58.751056671142578</v>
      </c>
      <c r="G8" s="27">
        <v>73.260032653808594</v>
      </c>
      <c r="H8" s="28"/>
      <c r="I8" s="28"/>
      <c r="J8" s="28"/>
      <c r="K8" s="28"/>
      <c r="M8" s="45">
        <f t="shared" si="0"/>
        <v>42614</v>
      </c>
      <c r="N8" s="29">
        <f t="shared" ref="N8:N39" si="1">IF(OR(NOT(ISNUMBER(C8)),NOT(ISNUMBER(C7)),C7=0),0,IFERROR(C8/C7-1,0))</f>
        <v>2.8988072136602039E-3</v>
      </c>
      <c r="O8" s="29">
        <f t="shared" ref="O8:O39" si="2">IF(OR(NOT(ISNUMBER(D8)),NOT(ISNUMBER(D7)),D7=0),0,IFERROR(D8/D7-1,0))</f>
        <v>5.9538954787558218E-2</v>
      </c>
      <c r="P8" s="29">
        <f t="shared" ref="P8:P39" si="3">IF(OR(NOT(ISNUMBER(E8)),NOT(ISNUMBER(E7)),E7=0),0,IFERROR(E8/E7-1,0))</f>
        <v>6.8921351079078708E-3</v>
      </c>
      <c r="Q8" s="29">
        <f t="shared" ref="Q8:Q39" si="4">IF(OR(NOT(ISNUMBER(F8)),NOT(ISNUMBER(F7)),F7=0),0,IFERROR(F8/F7-1,0))</f>
        <v>-1.8325435949604674E-2</v>
      </c>
      <c r="R8" s="29">
        <f t="shared" ref="R8:R39" si="5">IF(OR(NOT(ISNUMBER(G8)),NOT(ISNUMBER(G7)),G7=0),0,IFERROR(G8/G7-1,0))</f>
        <v>2.1832780691077858E-4</v>
      </c>
      <c r="S8" s="29">
        <f t="shared" ref="S8:S39" si="6">IF(OR(NOT(ISNUMBER(H8)),NOT(ISNUMBER(H7)),H7=0),0,IFERROR(H8/H7-1,0))</f>
        <v>0</v>
      </c>
      <c r="T8" s="29">
        <f t="shared" ref="T8:T39" si="7">IF(OR(NOT(ISNUMBER(I8)),NOT(ISNUMBER(I7)),I7=0),0,IFERROR(I8/I7-1,0))</f>
        <v>0</v>
      </c>
      <c r="U8" s="29">
        <f t="shared" ref="U8:U39" si="8">IF(OR(NOT(ISNUMBER(J8)),NOT(ISNUMBER(J7)),J7=0),0,IFERROR(J8/J7-1,0))</f>
        <v>0</v>
      </c>
      <c r="V8" s="29">
        <f t="shared" ref="V8:V39" si="9">IF(OR(NOT(ISNUMBER(K8)),NOT(ISNUMBER(K7)),K7=0),0,IFERROR(K8/K7-1,0))</f>
        <v>0</v>
      </c>
    </row>
    <row r="9" spans="2:22" x14ac:dyDescent="0.25">
      <c r="B9" s="45">
        <v>42644</v>
      </c>
      <c r="C9" s="27">
        <v>59.541492462158203</v>
      </c>
      <c r="D9" s="27">
        <v>700.97198486328125</v>
      </c>
      <c r="E9" s="27">
        <v>121.94000244140619</v>
      </c>
      <c r="F9" s="27">
        <v>55.377998352050781</v>
      </c>
      <c r="G9" s="27">
        <v>73.276054382324219</v>
      </c>
      <c r="H9" s="28"/>
      <c r="I9" s="28"/>
      <c r="J9" s="28"/>
      <c r="K9" s="28"/>
      <c r="M9" s="45">
        <f t="shared" si="0"/>
        <v>42644</v>
      </c>
      <c r="N9" s="29">
        <f t="shared" si="1"/>
        <v>-2.1194719192546341E-2</v>
      </c>
      <c r="O9" s="29">
        <f t="shared" si="2"/>
        <v>0.14963386012549873</v>
      </c>
      <c r="P9" s="29">
        <f t="shared" si="3"/>
        <v>-2.9449195846995901E-2</v>
      </c>
      <c r="Q9" s="29">
        <f t="shared" si="4"/>
        <v>-5.7412726003761905E-2</v>
      </c>
      <c r="R9" s="29">
        <f t="shared" si="5"/>
        <v>2.1869671545649005E-4</v>
      </c>
      <c r="S9" s="29">
        <f t="shared" si="6"/>
        <v>0</v>
      </c>
      <c r="T9" s="29">
        <f t="shared" si="7"/>
        <v>0</v>
      </c>
      <c r="U9" s="29">
        <f t="shared" si="8"/>
        <v>0</v>
      </c>
      <c r="V9" s="29">
        <f t="shared" si="9"/>
        <v>0</v>
      </c>
    </row>
    <row r="10" spans="2:22" x14ac:dyDescent="0.25">
      <c r="B10" s="45">
        <v>42675</v>
      </c>
      <c r="C10" s="27">
        <v>60.537750244140618</v>
      </c>
      <c r="D10" s="27">
        <v>745.69097900390625</v>
      </c>
      <c r="E10" s="27">
        <v>111.75</v>
      </c>
      <c r="F10" s="27">
        <v>54.450054168701172</v>
      </c>
      <c r="G10" s="27">
        <v>73.244041442871094</v>
      </c>
      <c r="H10" s="28"/>
      <c r="I10" s="28"/>
      <c r="J10" s="28"/>
      <c r="K10" s="28"/>
      <c r="M10" s="45">
        <f t="shared" si="0"/>
        <v>42675</v>
      </c>
      <c r="N10" s="29">
        <f t="shared" si="1"/>
        <v>1.6732160058224865E-2</v>
      </c>
      <c r="O10" s="29">
        <f t="shared" si="2"/>
        <v>6.3795693845520862E-2</v>
      </c>
      <c r="P10" s="29">
        <f t="shared" si="3"/>
        <v>-8.356570639157257E-2</v>
      </c>
      <c r="Q10" s="29">
        <f t="shared" si="4"/>
        <v>-1.6756549730281955E-2</v>
      </c>
      <c r="R10" s="29">
        <f t="shared" si="5"/>
        <v>-4.3688132123076429E-4</v>
      </c>
      <c r="S10" s="29">
        <f t="shared" si="6"/>
        <v>0</v>
      </c>
      <c r="T10" s="29">
        <f t="shared" si="7"/>
        <v>0</v>
      </c>
      <c r="U10" s="29">
        <f t="shared" si="8"/>
        <v>0</v>
      </c>
      <c r="V10" s="29">
        <f t="shared" si="9"/>
        <v>0</v>
      </c>
    </row>
    <row r="11" spans="2:22" x14ac:dyDescent="0.25">
      <c r="B11" s="45">
        <v>42705</v>
      </c>
      <c r="C11" s="27">
        <v>61.794960021972663</v>
      </c>
      <c r="D11" s="27">
        <v>963.74298095703125</v>
      </c>
      <c r="E11" s="27">
        <v>109.61000061035161</v>
      </c>
      <c r="F11" s="27">
        <v>57.072952270507813</v>
      </c>
      <c r="G11" s="27">
        <v>73.260063171386719</v>
      </c>
      <c r="H11" s="28"/>
      <c r="I11" s="28"/>
      <c r="J11" s="28"/>
      <c r="K11" s="28"/>
      <c r="M11" s="45">
        <f t="shared" si="0"/>
        <v>42705</v>
      </c>
      <c r="N11" s="29">
        <f t="shared" si="1"/>
        <v>2.0767368670984387E-2</v>
      </c>
      <c r="O11" s="29">
        <f t="shared" si="2"/>
        <v>0.2924160384029304</v>
      </c>
      <c r="P11" s="29">
        <f t="shared" si="3"/>
        <v>-1.9149882681417374E-2</v>
      </c>
      <c r="Q11" s="29">
        <f t="shared" si="4"/>
        <v>4.8170716114995571E-2</v>
      </c>
      <c r="R11" s="29">
        <f t="shared" si="5"/>
        <v>2.1874446303082884E-4</v>
      </c>
      <c r="S11" s="29">
        <f t="shared" si="6"/>
        <v>0</v>
      </c>
      <c r="T11" s="29">
        <f t="shared" si="7"/>
        <v>0</v>
      </c>
      <c r="U11" s="29">
        <f t="shared" si="8"/>
        <v>0</v>
      </c>
      <c r="V11" s="29">
        <f t="shared" si="9"/>
        <v>0</v>
      </c>
    </row>
    <row r="12" spans="2:22" x14ac:dyDescent="0.25">
      <c r="B12" s="45">
        <v>42736</v>
      </c>
      <c r="C12" s="27">
        <v>63.511466979980469</v>
      </c>
      <c r="D12" s="27">
        <v>970.40301513671875</v>
      </c>
      <c r="E12" s="27">
        <v>115.5500030517578</v>
      </c>
      <c r="F12" s="27">
        <v>56.962322235107422</v>
      </c>
      <c r="G12" s="27">
        <v>73.2921142578125</v>
      </c>
      <c r="H12" s="28"/>
      <c r="I12" s="28"/>
      <c r="J12" s="28"/>
      <c r="K12" s="28"/>
      <c r="M12" s="45">
        <f t="shared" si="0"/>
        <v>42736</v>
      </c>
      <c r="N12" s="29">
        <f t="shared" si="1"/>
        <v>2.7777458831552915E-2</v>
      </c>
      <c r="O12" s="29">
        <f t="shared" si="2"/>
        <v>6.9105916320904015E-3</v>
      </c>
      <c r="P12" s="29">
        <f t="shared" si="3"/>
        <v>5.4192157725845513E-2</v>
      </c>
      <c r="Q12" s="29">
        <f t="shared" si="4"/>
        <v>-1.9383969288295777E-3</v>
      </c>
      <c r="R12" s="29">
        <f t="shared" si="5"/>
        <v>4.3749738995990661E-4</v>
      </c>
      <c r="S12" s="29">
        <f t="shared" si="6"/>
        <v>0</v>
      </c>
      <c r="T12" s="29">
        <f t="shared" si="7"/>
        <v>0</v>
      </c>
      <c r="U12" s="29">
        <f t="shared" si="8"/>
        <v>0</v>
      </c>
      <c r="V12" s="29">
        <f t="shared" si="9"/>
        <v>0</v>
      </c>
    </row>
    <row r="13" spans="2:22" x14ac:dyDescent="0.25">
      <c r="B13" s="45">
        <v>42767</v>
      </c>
      <c r="C13" s="27">
        <v>65.177284240722656</v>
      </c>
      <c r="D13" s="27">
        <v>1179.969970703125</v>
      </c>
      <c r="E13" s="27">
        <v>119.23000335693359</v>
      </c>
      <c r="F13" s="27">
        <v>58.960884094238281</v>
      </c>
      <c r="G13" s="27">
        <v>73.328956604003906</v>
      </c>
      <c r="H13" s="28"/>
      <c r="I13" s="28"/>
      <c r="J13" s="28"/>
      <c r="K13" s="28"/>
      <c r="M13" s="45">
        <f t="shared" si="0"/>
        <v>42767</v>
      </c>
      <c r="N13" s="29">
        <f t="shared" si="1"/>
        <v>2.622860626518464E-2</v>
      </c>
      <c r="O13" s="29">
        <f t="shared" si="2"/>
        <v>0.21595868139061847</v>
      </c>
      <c r="P13" s="29">
        <f t="shared" si="3"/>
        <v>3.1847686784806317E-2</v>
      </c>
      <c r="Q13" s="29">
        <f t="shared" si="4"/>
        <v>3.5085680862552593E-2</v>
      </c>
      <c r="R13" s="29">
        <f t="shared" si="5"/>
        <v>5.0267817437776863E-4</v>
      </c>
      <c r="S13" s="29">
        <f t="shared" si="6"/>
        <v>0</v>
      </c>
      <c r="T13" s="29">
        <f t="shared" si="7"/>
        <v>0</v>
      </c>
      <c r="U13" s="29">
        <f t="shared" si="8"/>
        <v>0</v>
      </c>
      <c r="V13" s="29">
        <f t="shared" si="9"/>
        <v>0</v>
      </c>
    </row>
    <row r="14" spans="2:22" x14ac:dyDescent="0.25">
      <c r="B14" s="45">
        <v>42795</v>
      </c>
      <c r="C14" s="27">
        <v>65.845283508300781</v>
      </c>
      <c r="D14" s="27">
        <v>1071.7900390625</v>
      </c>
      <c r="E14" s="27">
        <v>118.7200012207031</v>
      </c>
      <c r="F14" s="27">
        <v>57.531867980957031</v>
      </c>
      <c r="G14" s="27">
        <v>73.316184997558594</v>
      </c>
      <c r="H14" s="28"/>
      <c r="I14" s="28"/>
      <c r="J14" s="28"/>
      <c r="K14" s="28"/>
      <c r="M14" s="45">
        <f t="shared" si="0"/>
        <v>42795</v>
      </c>
      <c r="N14" s="29">
        <f t="shared" si="1"/>
        <v>1.0248958289071464E-2</v>
      </c>
      <c r="O14" s="29">
        <f t="shared" si="2"/>
        <v>-9.1680241299837761E-2</v>
      </c>
      <c r="P14" s="29">
        <f t="shared" si="3"/>
        <v>-4.2774647477257233E-3</v>
      </c>
      <c r="Q14" s="29">
        <f t="shared" si="4"/>
        <v>-2.4236680559220014E-2</v>
      </c>
      <c r="R14" s="29">
        <f t="shared" si="5"/>
        <v>-1.7416866456021474E-4</v>
      </c>
      <c r="S14" s="29">
        <f t="shared" si="6"/>
        <v>0</v>
      </c>
      <c r="T14" s="29">
        <f t="shared" si="7"/>
        <v>0</v>
      </c>
      <c r="U14" s="29">
        <f t="shared" si="8"/>
        <v>0</v>
      </c>
      <c r="V14" s="29">
        <f t="shared" si="9"/>
        <v>0</v>
      </c>
    </row>
    <row r="15" spans="2:22" x14ac:dyDescent="0.25">
      <c r="B15" s="45">
        <v>42826</v>
      </c>
      <c r="C15" s="27">
        <v>66.952987670898438</v>
      </c>
      <c r="D15" s="27">
        <v>1347.890014648438</v>
      </c>
      <c r="E15" s="27">
        <v>120.76999664306641</v>
      </c>
      <c r="F15" s="27">
        <v>57.671184539794922</v>
      </c>
      <c r="G15" s="27">
        <v>73.3707275390625</v>
      </c>
      <c r="H15" s="28"/>
      <c r="I15" s="28"/>
      <c r="J15" s="28"/>
      <c r="K15" s="28"/>
      <c r="M15" s="45">
        <f t="shared" si="0"/>
        <v>42826</v>
      </c>
      <c r="N15" s="29">
        <f t="shared" si="1"/>
        <v>1.6822832305946722E-2</v>
      </c>
      <c r="O15" s="29">
        <f t="shared" si="2"/>
        <v>0.25760640192872475</v>
      </c>
      <c r="P15" s="29">
        <f t="shared" si="3"/>
        <v>1.7267481479825042E-2</v>
      </c>
      <c r="Q15" s="29">
        <f t="shared" si="4"/>
        <v>2.4215545875201361E-3</v>
      </c>
      <c r="R15" s="29">
        <f t="shared" si="5"/>
        <v>7.4393589226873225E-4</v>
      </c>
      <c r="S15" s="29">
        <f t="shared" si="6"/>
        <v>0</v>
      </c>
      <c r="T15" s="29">
        <f t="shared" si="7"/>
        <v>0</v>
      </c>
      <c r="U15" s="29">
        <f t="shared" si="8"/>
        <v>0</v>
      </c>
      <c r="V15" s="29">
        <f t="shared" si="9"/>
        <v>0</v>
      </c>
    </row>
    <row r="16" spans="2:22" x14ac:dyDescent="0.25">
      <c r="B16" s="45">
        <v>42856</v>
      </c>
      <c r="C16" s="27">
        <v>68.348197937011719</v>
      </c>
      <c r="D16" s="27">
        <v>2286.409912109375</v>
      </c>
      <c r="E16" s="27">
        <v>120.620002746582</v>
      </c>
      <c r="F16" s="27">
        <v>57.253231048583977</v>
      </c>
      <c r="G16" s="27">
        <v>73.3819580078125</v>
      </c>
      <c r="H16" s="28"/>
      <c r="I16" s="28"/>
      <c r="J16" s="28"/>
      <c r="K16" s="28"/>
      <c r="M16" s="45">
        <f t="shared" si="0"/>
        <v>42856</v>
      </c>
      <c r="N16" s="29">
        <f t="shared" si="1"/>
        <v>2.0838655818786078E-2</v>
      </c>
      <c r="O16" s="29">
        <f t="shared" si="2"/>
        <v>0.69628818914110413</v>
      </c>
      <c r="P16" s="29">
        <f t="shared" si="3"/>
        <v>-1.2419798017193617E-3</v>
      </c>
      <c r="Q16" s="29">
        <f t="shared" si="4"/>
        <v>-7.2471806248846082E-3</v>
      </c>
      <c r="R16" s="29">
        <f t="shared" si="5"/>
        <v>1.5306470477649547E-4</v>
      </c>
      <c r="S16" s="29">
        <f t="shared" si="6"/>
        <v>0</v>
      </c>
      <c r="T16" s="29">
        <f t="shared" si="7"/>
        <v>0</v>
      </c>
      <c r="U16" s="29">
        <f t="shared" si="8"/>
        <v>0</v>
      </c>
      <c r="V16" s="29">
        <f t="shared" si="9"/>
        <v>0</v>
      </c>
    </row>
    <row r="17" spans="2:22" x14ac:dyDescent="0.25">
      <c r="B17" s="45">
        <v>42887</v>
      </c>
      <c r="C17" s="27">
        <v>68.622589111328125</v>
      </c>
      <c r="D17" s="27">
        <v>2480.840087890625</v>
      </c>
      <c r="E17" s="27">
        <v>118.01999664306641</v>
      </c>
      <c r="F17" s="27">
        <v>58.531486511230469</v>
      </c>
      <c r="G17" s="27">
        <v>73.457450866699219</v>
      </c>
      <c r="H17" s="28"/>
      <c r="I17" s="28"/>
      <c r="J17" s="28"/>
      <c r="K17" s="28"/>
      <c r="M17" s="45">
        <f t="shared" si="0"/>
        <v>42887</v>
      </c>
      <c r="N17" s="29">
        <f t="shared" si="1"/>
        <v>4.014607299072992E-3</v>
      </c>
      <c r="O17" s="29">
        <f t="shared" si="2"/>
        <v>8.5037321939299249E-2</v>
      </c>
      <c r="P17" s="29">
        <f t="shared" si="3"/>
        <v>-2.1555347739280917E-2</v>
      </c>
      <c r="Q17" s="29">
        <f t="shared" si="4"/>
        <v>2.2326346290601373E-2</v>
      </c>
      <c r="R17" s="29">
        <f t="shared" si="5"/>
        <v>1.0287659383343417E-3</v>
      </c>
      <c r="S17" s="29">
        <f t="shared" si="6"/>
        <v>0</v>
      </c>
      <c r="T17" s="29">
        <f t="shared" si="7"/>
        <v>0</v>
      </c>
      <c r="U17" s="29">
        <f t="shared" si="8"/>
        <v>0</v>
      </c>
      <c r="V17" s="29">
        <f t="shared" si="9"/>
        <v>0</v>
      </c>
    </row>
    <row r="18" spans="2:22" x14ac:dyDescent="0.25">
      <c r="B18" s="45">
        <v>42917</v>
      </c>
      <c r="C18" s="27">
        <v>70.288406372070313</v>
      </c>
      <c r="D18" s="27">
        <v>2875.340087890625</v>
      </c>
      <c r="E18" s="27">
        <v>120.75</v>
      </c>
      <c r="F18" s="27">
        <v>59.255817413330078</v>
      </c>
      <c r="G18" s="27">
        <v>73.48150634765625</v>
      </c>
      <c r="H18" s="28"/>
      <c r="I18" s="28"/>
      <c r="J18" s="28"/>
      <c r="K18" s="28"/>
      <c r="M18" s="45">
        <f t="shared" si="0"/>
        <v>42917</v>
      </c>
      <c r="N18" s="29">
        <f t="shared" si="1"/>
        <v>2.4275056979265131E-2</v>
      </c>
      <c r="O18" s="29">
        <f t="shared" si="2"/>
        <v>0.15901871383230914</v>
      </c>
      <c r="P18" s="29">
        <f t="shared" si="3"/>
        <v>2.3131701699586449E-2</v>
      </c>
      <c r="Q18" s="29">
        <f t="shared" si="4"/>
        <v>1.2375064179527273E-2</v>
      </c>
      <c r="R18" s="29">
        <f t="shared" si="5"/>
        <v>3.2747503041830051E-4</v>
      </c>
      <c r="S18" s="29">
        <f t="shared" si="6"/>
        <v>0</v>
      </c>
      <c r="T18" s="29">
        <f t="shared" si="7"/>
        <v>0</v>
      </c>
      <c r="U18" s="29">
        <f t="shared" si="8"/>
        <v>0</v>
      </c>
      <c r="V18" s="29">
        <f t="shared" si="9"/>
        <v>0</v>
      </c>
    </row>
    <row r="19" spans="2:22" x14ac:dyDescent="0.25">
      <c r="B19" s="45">
        <v>42948</v>
      </c>
      <c r="C19" s="27">
        <v>70.348197937011719</v>
      </c>
      <c r="D19" s="27">
        <v>4703.39013671875</v>
      </c>
      <c r="E19" s="27">
        <v>125.8199996948242</v>
      </c>
      <c r="F19" s="27">
        <v>59.101100921630859</v>
      </c>
      <c r="G19" s="27">
        <v>73.565177917480469</v>
      </c>
      <c r="H19" s="28"/>
      <c r="I19" s="28"/>
      <c r="J19" s="28"/>
      <c r="K19" s="28"/>
      <c r="M19" s="45">
        <f t="shared" si="0"/>
        <v>42948</v>
      </c>
      <c r="N19" s="29">
        <f t="shared" si="1"/>
        <v>8.5066041510328816E-4</v>
      </c>
      <c r="O19" s="29">
        <f t="shared" si="2"/>
        <v>0.63576828929797968</v>
      </c>
      <c r="P19" s="29">
        <f t="shared" si="3"/>
        <v>4.1987575112415687E-2</v>
      </c>
      <c r="Q19" s="29">
        <f t="shared" si="4"/>
        <v>-2.6109924468684653E-3</v>
      </c>
      <c r="R19" s="29">
        <f t="shared" si="5"/>
        <v>1.1386752120778887E-3</v>
      </c>
      <c r="S19" s="29">
        <f t="shared" si="6"/>
        <v>0</v>
      </c>
      <c r="T19" s="29">
        <f t="shared" si="7"/>
        <v>0</v>
      </c>
      <c r="U19" s="29">
        <f t="shared" si="8"/>
        <v>0</v>
      </c>
      <c r="V19" s="29">
        <f t="shared" si="9"/>
        <v>0</v>
      </c>
    </row>
    <row r="20" spans="2:22" x14ac:dyDescent="0.25">
      <c r="B20" s="45">
        <v>42979</v>
      </c>
      <c r="C20" s="27">
        <v>71.834587097167969</v>
      </c>
      <c r="D20" s="27">
        <v>4338.7099609375</v>
      </c>
      <c r="E20" s="27">
        <v>121.5800018310547</v>
      </c>
      <c r="F20" s="27">
        <v>59.033714294433587</v>
      </c>
      <c r="G20" s="27">
        <v>73.618293762207031</v>
      </c>
      <c r="H20" s="28"/>
      <c r="I20" s="28"/>
      <c r="J20" s="28"/>
      <c r="K20" s="28"/>
      <c r="M20" s="45">
        <f t="shared" si="0"/>
        <v>42979</v>
      </c>
      <c r="N20" s="29">
        <f t="shared" si="1"/>
        <v>2.112902965172081E-2</v>
      </c>
      <c r="O20" s="29">
        <f t="shared" si="2"/>
        <v>-7.753559989298775E-2</v>
      </c>
      <c r="P20" s="29">
        <f t="shared" si="3"/>
        <v>-3.3698918089759999E-2</v>
      </c>
      <c r="Q20" s="29">
        <f t="shared" si="4"/>
        <v>-1.1401924185241441E-3</v>
      </c>
      <c r="R20" s="29">
        <f t="shared" si="5"/>
        <v>7.2202428146295183E-4</v>
      </c>
      <c r="S20" s="29">
        <f t="shared" si="6"/>
        <v>0</v>
      </c>
      <c r="T20" s="29">
        <f t="shared" si="7"/>
        <v>0</v>
      </c>
      <c r="U20" s="29">
        <f t="shared" si="8"/>
        <v>0</v>
      </c>
      <c r="V20" s="29">
        <f t="shared" si="9"/>
        <v>0</v>
      </c>
    </row>
    <row r="21" spans="2:22" x14ac:dyDescent="0.25">
      <c r="B21" s="45">
        <v>43009</v>
      </c>
      <c r="C21" s="27">
        <v>73.363716125488281</v>
      </c>
      <c r="D21" s="27">
        <v>6468.39990234375</v>
      </c>
      <c r="E21" s="27">
        <v>120.6699981689453</v>
      </c>
      <c r="F21" s="27">
        <v>58.401390075683587</v>
      </c>
      <c r="G21" s="27">
        <v>73.669776916503906</v>
      </c>
      <c r="H21" s="28"/>
      <c r="I21" s="28"/>
      <c r="J21" s="28"/>
      <c r="K21" s="28"/>
      <c r="M21" s="45">
        <f t="shared" si="0"/>
        <v>43009</v>
      </c>
      <c r="N21" s="29">
        <f t="shared" si="1"/>
        <v>2.1286807513098305E-2</v>
      </c>
      <c r="O21" s="29">
        <f t="shared" si="2"/>
        <v>0.49085787263504255</v>
      </c>
      <c r="P21" s="29">
        <f t="shared" si="3"/>
        <v>-7.4848136897869288E-3</v>
      </c>
      <c r="Q21" s="29">
        <f t="shared" si="4"/>
        <v>-1.0711238930287359E-2</v>
      </c>
      <c r="R21" s="29">
        <f t="shared" si="5"/>
        <v>6.9932555708462907E-4</v>
      </c>
      <c r="S21" s="29">
        <f t="shared" si="6"/>
        <v>0</v>
      </c>
      <c r="T21" s="29">
        <f t="shared" si="7"/>
        <v>0</v>
      </c>
      <c r="U21" s="29">
        <f t="shared" si="8"/>
        <v>0</v>
      </c>
      <c r="V21" s="29">
        <f t="shared" si="9"/>
        <v>0</v>
      </c>
    </row>
    <row r="22" spans="2:22" x14ac:dyDescent="0.25">
      <c r="B22" s="45">
        <v>43040</v>
      </c>
      <c r="C22" s="27">
        <v>74.798881530761719</v>
      </c>
      <c r="D22" s="27">
        <v>10233.599609375</v>
      </c>
      <c r="E22" s="27">
        <v>121.09999847412109</v>
      </c>
      <c r="F22" s="27">
        <v>59.957324981689453</v>
      </c>
      <c r="G22" s="27">
        <v>73.710052490234375</v>
      </c>
      <c r="H22" s="28"/>
      <c r="I22" s="28"/>
      <c r="J22" s="28"/>
      <c r="K22" s="28"/>
      <c r="M22" s="45">
        <f t="shared" si="0"/>
        <v>43040</v>
      </c>
      <c r="N22" s="29">
        <f t="shared" si="1"/>
        <v>1.9562332458985532E-2</v>
      </c>
      <c r="O22" s="29">
        <f t="shared" si="2"/>
        <v>0.58209136167771147</v>
      </c>
      <c r="P22" s="29">
        <f t="shared" si="3"/>
        <v>3.563440057186229E-3</v>
      </c>
      <c r="Q22" s="29">
        <f t="shared" si="4"/>
        <v>2.6642086840561463E-2</v>
      </c>
      <c r="R22" s="29">
        <f t="shared" si="5"/>
        <v>5.4670416303981284E-4</v>
      </c>
      <c r="S22" s="29">
        <f t="shared" si="6"/>
        <v>0</v>
      </c>
      <c r="T22" s="29">
        <f t="shared" si="7"/>
        <v>0</v>
      </c>
      <c r="U22" s="29">
        <f t="shared" si="8"/>
        <v>0</v>
      </c>
      <c r="V22" s="29">
        <f t="shared" si="9"/>
        <v>0</v>
      </c>
    </row>
    <row r="23" spans="2:22" x14ac:dyDescent="0.25">
      <c r="B23" s="45">
        <v>43070</v>
      </c>
      <c r="C23" s="27">
        <v>75.974655151367188</v>
      </c>
      <c r="D23" s="27">
        <v>14156.400390625</v>
      </c>
      <c r="E23" s="27">
        <v>123.65000152587891</v>
      </c>
      <c r="F23" s="27">
        <v>59.868938446044922</v>
      </c>
      <c r="G23" s="27">
        <v>73.764945983886719</v>
      </c>
      <c r="H23" s="28"/>
      <c r="I23" s="28"/>
      <c r="J23" s="28"/>
      <c r="K23" s="28"/>
      <c r="M23" s="45">
        <f t="shared" si="0"/>
        <v>43070</v>
      </c>
      <c r="N23" s="29">
        <f t="shared" si="1"/>
        <v>1.571913371621636E-2</v>
      </c>
      <c r="O23" s="29">
        <f t="shared" si="2"/>
        <v>0.38332560692098228</v>
      </c>
      <c r="P23" s="29">
        <f t="shared" si="3"/>
        <v>2.1057003170010358E-2</v>
      </c>
      <c r="Q23" s="29">
        <f t="shared" si="4"/>
        <v>-1.4741574223253728E-3</v>
      </c>
      <c r="R23" s="29">
        <f t="shared" si="5"/>
        <v>7.4472194494257238E-4</v>
      </c>
      <c r="S23" s="29">
        <f t="shared" si="6"/>
        <v>0</v>
      </c>
      <c r="T23" s="29">
        <f t="shared" si="7"/>
        <v>0</v>
      </c>
      <c r="U23" s="29">
        <f t="shared" si="8"/>
        <v>0</v>
      </c>
      <c r="V23" s="29">
        <f t="shared" si="9"/>
        <v>0</v>
      </c>
    </row>
    <row r="24" spans="2:22" x14ac:dyDescent="0.25">
      <c r="B24" s="45">
        <v>43101</v>
      </c>
      <c r="C24" s="27">
        <v>79.915229797363281</v>
      </c>
      <c r="D24" s="27">
        <v>10221.099609375</v>
      </c>
      <c r="E24" s="27">
        <v>127.65000152587891</v>
      </c>
      <c r="F24" s="27">
        <v>57.322093963623047</v>
      </c>
      <c r="G24" s="27">
        <v>73.861763000488281</v>
      </c>
      <c r="H24" s="28"/>
      <c r="I24" s="28"/>
      <c r="J24" s="28"/>
      <c r="K24" s="28"/>
      <c r="M24" s="45">
        <f t="shared" si="0"/>
        <v>43101</v>
      </c>
      <c r="N24" s="29">
        <f t="shared" si="1"/>
        <v>5.1866963241164354E-2</v>
      </c>
      <c r="O24" s="29">
        <f t="shared" si="2"/>
        <v>-0.2779873889308847</v>
      </c>
      <c r="P24" s="29">
        <f t="shared" si="3"/>
        <v>3.2349372831692369E-2</v>
      </c>
      <c r="Q24" s="29">
        <f t="shared" si="4"/>
        <v>-4.2540331406028531E-2</v>
      </c>
      <c r="R24" s="29">
        <f t="shared" si="5"/>
        <v>1.3125071171706804E-3</v>
      </c>
      <c r="S24" s="29">
        <f t="shared" si="6"/>
        <v>0</v>
      </c>
      <c r="T24" s="29">
        <f t="shared" si="7"/>
        <v>0</v>
      </c>
      <c r="U24" s="29">
        <f t="shared" si="8"/>
        <v>0</v>
      </c>
      <c r="V24" s="29">
        <f t="shared" si="9"/>
        <v>0</v>
      </c>
    </row>
    <row r="25" spans="2:22" x14ac:dyDescent="0.25">
      <c r="B25" s="45">
        <v>43132</v>
      </c>
      <c r="C25" s="27">
        <v>76.431655883789063</v>
      </c>
      <c r="D25" s="27">
        <v>10397.900390625</v>
      </c>
      <c r="E25" s="27">
        <v>125</v>
      </c>
      <c r="F25" s="27">
        <v>52.921016693115227</v>
      </c>
      <c r="G25" s="27">
        <v>73.923141479492188</v>
      </c>
      <c r="H25" s="28"/>
      <c r="I25" s="28"/>
      <c r="J25" s="28"/>
      <c r="K25" s="28"/>
      <c r="M25" s="45">
        <f t="shared" si="0"/>
        <v>43132</v>
      </c>
      <c r="N25" s="29">
        <f t="shared" si="1"/>
        <v>-4.3590863999356966E-2</v>
      </c>
      <c r="O25" s="29">
        <f t="shared" si="2"/>
        <v>1.7297628240295682E-2</v>
      </c>
      <c r="P25" s="29">
        <f t="shared" si="3"/>
        <v>-2.0759902030566435E-2</v>
      </c>
      <c r="Q25" s="29">
        <f t="shared" si="4"/>
        <v>-7.6778026868675964E-2</v>
      </c>
      <c r="R25" s="29">
        <f t="shared" si="5"/>
        <v>8.3099125326180356E-4</v>
      </c>
      <c r="S25" s="29">
        <f t="shared" si="6"/>
        <v>0</v>
      </c>
      <c r="T25" s="29">
        <f t="shared" si="7"/>
        <v>0</v>
      </c>
      <c r="U25" s="29">
        <f t="shared" si="8"/>
        <v>0</v>
      </c>
      <c r="V25" s="29">
        <f t="shared" si="9"/>
        <v>0</v>
      </c>
    </row>
    <row r="26" spans="2:22" x14ac:dyDescent="0.25">
      <c r="B26" s="45">
        <v>43160</v>
      </c>
      <c r="C26" s="27">
        <v>75.129623413085938</v>
      </c>
      <c r="D26" s="27">
        <v>6973.52978515625</v>
      </c>
      <c r="E26" s="27">
        <v>125.7900009155273</v>
      </c>
      <c r="F26" s="27">
        <v>54.980045318603523</v>
      </c>
      <c r="G26" s="27">
        <v>74.01934814453125</v>
      </c>
      <c r="H26" s="28"/>
      <c r="I26" s="28"/>
      <c r="J26" s="28"/>
      <c r="K26" s="28"/>
      <c r="M26" s="45">
        <f t="shared" si="0"/>
        <v>43160</v>
      </c>
      <c r="N26" s="29">
        <f t="shared" si="1"/>
        <v>-1.7035251371274818E-2</v>
      </c>
      <c r="O26" s="29">
        <f t="shared" si="2"/>
        <v>-0.32933289191308712</v>
      </c>
      <c r="P26" s="29">
        <f t="shared" si="3"/>
        <v>6.3200073242184462E-3</v>
      </c>
      <c r="Q26" s="29">
        <f t="shared" si="4"/>
        <v>3.8907578768345275E-2</v>
      </c>
      <c r="R26" s="29">
        <f t="shared" si="5"/>
        <v>1.3014417828245417E-3</v>
      </c>
      <c r="S26" s="29">
        <f t="shared" si="6"/>
        <v>0</v>
      </c>
      <c r="T26" s="29">
        <f t="shared" si="7"/>
        <v>0</v>
      </c>
      <c r="U26" s="29">
        <f t="shared" si="8"/>
        <v>0</v>
      </c>
      <c r="V26" s="29">
        <f t="shared" si="9"/>
        <v>0</v>
      </c>
    </row>
    <row r="27" spans="2:22" x14ac:dyDescent="0.25">
      <c r="B27" s="45">
        <v>43191</v>
      </c>
      <c r="C27" s="27">
        <v>75.690109252929688</v>
      </c>
      <c r="D27" s="27">
        <v>9240.5498046875</v>
      </c>
      <c r="E27" s="27">
        <v>124.5899963378906</v>
      </c>
      <c r="F27" s="27">
        <v>55.431720733642578</v>
      </c>
      <c r="G27" s="27">
        <v>74.096267700195313</v>
      </c>
      <c r="H27" s="28"/>
      <c r="I27" s="28"/>
      <c r="J27" s="28"/>
      <c r="K27" s="28"/>
      <c r="M27" s="45">
        <f t="shared" si="0"/>
        <v>43191</v>
      </c>
      <c r="N27" s="29">
        <f t="shared" si="1"/>
        <v>7.4602508888141905E-3</v>
      </c>
      <c r="O27" s="29">
        <f t="shared" si="2"/>
        <v>0.32508931479102521</v>
      </c>
      <c r="P27" s="29">
        <f t="shared" si="3"/>
        <v>-9.5397453605438054E-3</v>
      </c>
      <c r="Q27" s="29">
        <f t="shared" si="4"/>
        <v>8.2152608718608633E-3</v>
      </c>
      <c r="R27" s="29">
        <f t="shared" si="5"/>
        <v>1.0391817489916466E-3</v>
      </c>
      <c r="S27" s="29">
        <f t="shared" si="6"/>
        <v>0</v>
      </c>
      <c r="T27" s="29">
        <f t="shared" si="7"/>
        <v>0</v>
      </c>
      <c r="U27" s="29">
        <f t="shared" si="8"/>
        <v>0</v>
      </c>
      <c r="V27" s="29">
        <f t="shared" si="9"/>
        <v>0</v>
      </c>
    </row>
    <row r="28" spans="2:22" x14ac:dyDescent="0.25">
      <c r="B28" s="45">
        <v>43221</v>
      </c>
      <c r="C28" s="27">
        <v>76.190238952636719</v>
      </c>
      <c r="D28" s="27">
        <v>7494.169921875</v>
      </c>
      <c r="E28" s="27">
        <v>123.09999847412109</v>
      </c>
      <c r="F28" s="27">
        <v>57.471534729003913</v>
      </c>
      <c r="G28" s="27">
        <v>74.207283020019531</v>
      </c>
      <c r="H28" s="28"/>
      <c r="I28" s="28"/>
      <c r="J28" s="28"/>
      <c r="K28" s="28"/>
      <c r="M28" s="45">
        <f t="shared" si="0"/>
        <v>43221</v>
      </c>
      <c r="N28" s="29">
        <f t="shared" si="1"/>
        <v>6.6075964831253664E-3</v>
      </c>
      <c r="O28" s="29">
        <f t="shared" si="2"/>
        <v>-0.18899090635565918</v>
      </c>
      <c r="P28" s="29">
        <f t="shared" si="3"/>
        <v>-1.1959209467577114E-2</v>
      </c>
      <c r="Q28" s="29">
        <f t="shared" si="4"/>
        <v>3.6798677153879744E-2</v>
      </c>
      <c r="R28" s="29">
        <f t="shared" si="5"/>
        <v>1.4982579186497702E-3</v>
      </c>
      <c r="S28" s="29">
        <f t="shared" si="6"/>
        <v>0</v>
      </c>
      <c r="T28" s="29">
        <f t="shared" si="7"/>
        <v>0</v>
      </c>
      <c r="U28" s="29">
        <f t="shared" si="8"/>
        <v>0</v>
      </c>
      <c r="V28" s="29">
        <f t="shared" si="9"/>
        <v>0</v>
      </c>
    </row>
    <row r="29" spans="2:22" x14ac:dyDescent="0.25">
      <c r="B29" s="45">
        <v>43252</v>
      </c>
      <c r="C29" s="27">
        <v>76.307357788085938</v>
      </c>
      <c r="D29" s="27">
        <v>6404</v>
      </c>
      <c r="E29" s="27">
        <v>118.65000152587891</v>
      </c>
      <c r="F29" s="27">
        <v>59.886569976806641</v>
      </c>
      <c r="G29" s="27">
        <v>74.317634582519531</v>
      </c>
      <c r="H29" s="28"/>
      <c r="I29" s="28"/>
      <c r="J29" s="28"/>
      <c r="K29" s="28"/>
      <c r="M29" s="45">
        <f t="shared" si="0"/>
        <v>43252</v>
      </c>
      <c r="N29" s="29">
        <f t="shared" si="1"/>
        <v>1.5371895016895731E-3</v>
      </c>
      <c r="O29" s="29">
        <f t="shared" si="2"/>
        <v>-0.14546906905498158</v>
      </c>
      <c r="P29" s="29">
        <f t="shared" si="3"/>
        <v>-3.6149447631209308E-2</v>
      </c>
      <c r="Q29" s="29">
        <f t="shared" si="4"/>
        <v>4.2021415631066095E-2</v>
      </c>
      <c r="R29" s="29">
        <f t="shared" si="5"/>
        <v>1.4870718615345169E-3</v>
      </c>
      <c r="S29" s="29">
        <f t="shared" si="6"/>
        <v>0</v>
      </c>
      <c r="T29" s="29">
        <f t="shared" si="7"/>
        <v>0</v>
      </c>
      <c r="U29" s="29">
        <f t="shared" si="8"/>
        <v>0</v>
      </c>
      <c r="V29" s="29">
        <f t="shared" si="9"/>
        <v>0</v>
      </c>
    </row>
    <row r="30" spans="2:22" x14ac:dyDescent="0.25">
      <c r="B30" s="45">
        <v>43282</v>
      </c>
      <c r="C30" s="27">
        <v>78.60198974609375</v>
      </c>
      <c r="D30" s="27">
        <v>7780.43994140625</v>
      </c>
      <c r="E30" s="27">
        <v>115.9899978637695</v>
      </c>
      <c r="F30" s="27">
        <v>60.246868133544922</v>
      </c>
      <c r="G30" s="27">
        <v>74.420845031738281</v>
      </c>
      <c r="H30" s="28"/>
      <c r="I30" s="28"/>
      <c r="J30" s="28"/>
      <c r="K30" s="28"/>
      <c r="M30" s="45">
        <f t="shared" si="0"/>
        <v>43282</v>
      </c>
      <c r="N30" s="29">
        <f t="shared" si="1"/>
        <v>3.0070913533400745E-2</v>
      </c>
      <c r="O30" s="29">
        <f t="shared" si="2"/>
        <v>0.21493440684045129</v>
      </c>
      <c r="P30" s="29">
        <f t="shared" si="3"/>
        <v>-2.2418909632539896E-2</v>
      </c>
      <c r="Q30" s="29">
        <f t="shared" si="4"/>
        <v>6.0163431780750898E-3</v>
      </c>
      <c r="R30" s="29">
        <f t="shared" si="5"/>
        <v>1.3887746804448486E-3</v>
      </c>
      <c r="S30" s="29">
        <f t="shared" si="6"/>
        <v>0</v>
      </c>
      <c r="T30" s="29">
        <f t="shared" si="7"/>
        <v>0</v>
      </c>
      <c r="U30" s="29">
        <f t="shared" si="8"/>
        <v>0</v>
      </c>
      <c r="V30" s="29">
        <f t="shared" si="9"/>
        <v>0</v>
      </c>
    </row>
    <row r="31" spans="2:22" x14ac:dyDescent="0.25">
      <c r="B31" s="45">
        <v>43313</v>
      </c>
      <c r="C31" s="27">
        <v>79.500656127929688</v>
      </c>
      <c r="D31" s="27">
        <v>7037.580078125</v>
      </c>
      <c r="E31" s="27">
        <v>113.5100021362305</v>
      </c>
      <c r="F31" s="27">
        <v>61.798263549804688</v>
      </c>
      <c r="G31" s="27">
        <v>74.538848876953125</v>
      </c>
      <c r="H31" s="28"/>
      <c r="I31" s="28"/>
      <c r="J31" s="28"/>
      <c r="K31" s="28"/>
      <c r="M31" s="45">
        <f t="shared" si="0"/>
        <v>43313</v>
      </c>
      <c r="N31" s="29">
        <f t="shared" si="1"/>
        <v>1.1433125099490127E-2</v>
      </c>
      <c r="O31" s="29">
        <f t="shared" si="2"/>
        <v>-9.5477873857475526E-2</v>
      </c>
      <c r="P31" s="29">
        <f t="shared" si="3"/>
        <v>-2.1381117106767822E-2</v>
      </c>
      <c r="Q31" s="29">
        <f t="shared" si="4"/>
        <v>2.5750640063495034E-2</v>
      </c>
      <c r="R31" s="29">
        <f t="shared" si="5"/>
        <v>1.5856289345346219E-3</v>
      </c>
      <c r="S31" s="29">
        <f t="shared" si="6"/>
        <v>0</v>
      </c>
      <c r="T31" s="29">
        <f t="shared" si="7"/>
        <v>0</v>
      </c>
      <c r="U31" s="29">
        <f t="shared" si="8"/>
        <v>0</v>
      </c>
      <c r="V31" s="29">
        <f t="shared" si="9"/>
        <v>0</v>
      </c>
    </row>
    <row r="32" spans="2:22" x14ac:dyDescent="0.25">
      <c r="B32" s="45">
        <v>43344</v>
      </c>
      <c r="C32" s="27">
        <v>80.093940734863281</v>
      </c>
      <c r="D32" s="27">
        <v>6625.56005859375</v>
      </c>
      <c r="E32" s="27">
        <v>112.7600021362305</v>
      </c>
      <c r="F32" s="27">
        <v>60.151695251464837</v>
      </c>
      <c r="G32" s="27">
        <v>74.643180847167969</v>
      </c>
      <c r="H32" s="28"/>
      <c r="I32" s="28"/>
      <c r="J32" s="28"/>
      <c r="K32" s="28"/>
      <c r="M32" s="45">
        <f t="shared" si="0"/>
        <v>43344</v>
      </c>
      <c r="N32" s="29">
        <f t="shared" si="1"/>
        <v>7.4626378677793426E-3</v>
      </c>
      <c r="O32" s="29">
        <f t="shared" si="2"/>
        <v>-5.8545695389234265E-2</v>
      </c>
      <c r="P32" s="29">
        <f t="shared" si="3"/>
        <v>-6.6073472459270421E-3</v>
      </c>
      <c r="Q32" s="29">
        <f t="shared" si="4"/>
        <v>-2.6644248620559363E-2</v>
      </c>
      <c r="R32" s="29">
        <f t="shared" si="5"/>
        <v>1.3996992412248499E-3</v>
      </c>
      <c r="S32" s="29">
        <f t="shared" si="6"/>
        <v>0</v>
      </c>
      <c r="T32" s="29">
        <f t="shared" si="7"/>
        <v>0</v>
      </c>
      <c r="U32" s="29">
        <f t="shared" si="8"/>
        <v>0</v>
      </c>
      <c r="V32" s="29">
        <f t="shared" si="9"/>
        <v>0</v>
      </c>
    </row>
    <row r="33" spans="2:22" x14ac:dyDescent="0.25">
      <c r="B33" s="45">
        <v>43374</v>
      </c>
      <c r="C33" s="27">
        <v>74.379196166992188</v>
      </c>
      <c r="D33" s="27">
        <v>6317.60986328125</v>
      </c>
      <c r="E33" s="27">
        <v>115.15000152587891</v>
      </c>
      <c r="F33" s="27">
        <v>58.392192840576172</v>
      </c>
      <c r="G33" s="27">
        <v>74.770561218261719</v>
      </c>
      <c r="H33" s="28"/>
      <c r="I33" s="28"/>
      <c r="J33" s="28"/>
      <c r="K33" s="28"/>
      <c r="M33" s="45">
        <f t="shared" si="0"/>
        <v>43374</v>
      </c>
      <c r="N33" s="29">
        <f t="shared" si="1"/>
        <v>-7.1350523091237794E-2</v>
      </c>
      <c r="O33" s="29">
        <f t="shared" si="2"/>
        <v>-4.6479119136965674E-2</v>
      </c>
      <c r="P33" s="29">
        <f t="shared" si="3"/>
        <v>2.11954535683756E-2</v>
      </c>
      <c r="Q33" s="29">
        <f t="shared" si="4"/>
        <v>-2.9251086000702808E-2</v>
      </c>
      <c r="R33" s="29">
        <f t="shared" si="5"/>
        <v>1.7065238866837973E-3</v>
      </c>
      <c r="S33" s="29">
        <f t="shared" si="6"/>
        <v>0</v>
      </c>
      <c r="T33" s="29">
        <f t="shared" si="7"/>
        <v>0</v>
      </c>
      <c r="U33" s="29">
        <f t="shared" si="8"/>
        <v>0</v>
      </c>
      <c r="V33" s="29">
        <f t="shared" si="9"/>
        <v>0</v>
      </c>
    </row>
    <row r="34" spans="2:22" x14ac:dyDescent="0.25">
      <c r="B34" s="45">
        <v>43405</v>
      </c>
      <c r="C34" s="27">
        <v>75.216781616210938</v>
      </c>
      <c r="D34" s="27">
        <v>4017.2685546875</v>
      </c>
      <c r="E34" s="27">
        <v>115.5400009155273</v>
      </c>
      <c r="F34" s="27">
        <v>61.120937347412109</v>
      </c>
      <c r="G34" s="27">
        <v>74.909568786621094</v>
      </c>
      <c r="H34" s="28"/>
      <c r="I34" s="28"/>
      <c r="J34" s="28"/>
      <c r="K34" s="28"/>
      <c r="M34" s="45">
        <f t="shared" si="0"/>
        <v>43405</v>
      </c>
      <c r="N34" s="29">
        <f t="shared" si="1"/>
        <v>1.1261017762792758E-2</v>
      </c>
      <c r="O34" s="29">
        <f t="shared" si="2"/>
        <v>-0.36411575870862578</v>
      </c>
      <c r="P34" s="29">
        <f t="shared" si="3"/>
        <v>3.3868813241895168E-3</v>
      </c>
      <c r="Q34" s="29">
        <f t="shared" si="4"/>
        <v>4.673132441328276E-2</v>
      </c>
      <c r="R34" s="29">
        <f t="shared" si="5"/>
        <v>1.8591216395127397E-3</v>
      </c>
      <c r="S34" s="29">
        <f t="shared" si="6"/>
        <v>0</v>
      </c>
      <c r="T34" s="29">
        <f t="shared" si="7"/>
        <v>0</v>
      </c>
      <c r="U34" s="29">
        <f t="shared" si="8"/>
        <v>0</v>
      </c>
      <c r="V34" s="29">
        <f t="shared" si="9"/>
        <v>0</v>
      </c>
    </row>
    <row r="35" spans="2:22" x14ac:dyDescent="0.25">
      <c r="B35" s="45">
        <v>43435</v>
      </c>
      <c r="C35" s="27">
        <v>69.469276428222656</v>
      </c>
      <c r="D35" s="27">
        <v>3742.700439453125</v>
      </c>
      <c r="E35" s="27">
        <v>121.25</v>
      </c>
      <c r="F35" s="27">
        <v>56.260673522949219</v>
      </c>
      <c r="G35" s="27">
        <v>75.046424865722656</v>
      </c>
      <c r="H35" s="28"/>
      <c r="I35" s="28"/>
      <c r="J35" s="28"/>
      <c r="K35" s="28"/>
      <c r="M35" s="45">
        <f t="shared" si="0"/>
        <v>43435</v>
      </c>
      <c r="N35" s="29">
        <f t="shared" si="1"/>
        <v>-7.641253805985182E-2</v>
      </c>
      <c r="O35" s="29">
        <f t="shared" si="2"/>
        <v>-6.8346965480811206E-2</v>
      </c>
      <c r="P35" s="29">
        <f t="shared" si="3"/>
        <v>4.9420105930649605E-2</v>
      </c>
      <c r="Q35" s="29">
        <f t="shared" si="4"/>
        <v>-7.9518803791196691E-2</v>
      </c>
      <c r="R35" s="29">
        <f t="shared" si="5"/>
        <v>1.826950566107266E-3</v>
      </c>
      <c r="S35" s="29">
        <f t="shared" si="6"/>
        <v>0</v>
      </c>
      <c r="T35" s="29">
        <f t="shared" si="7"/>
        <v>0</v>
      </c>
      <c r="U35" s="29">
        <f t="shared" si="8"/>
        <v>0</v>
      </c>
      <c r="V35" s="29">
        <f t="shared" si="9"/>
        <v>0</v>
      </c>
    </row>
    <row r="36" spans="2:22" x14ac:dyDescent="0.25">
      <c r="B36" s="45">
        <v>43466</v>
      </c>
      <c r="C36" s="27">
        <v>74.833396911621094</v>
      </c>
      <c r="D36" s="27">
        <v>3457.792724609375</v>
      </c>
      <c r="E36" s="27">
        <v>124.75</v>
      </c>
      <c r="F36" s="27">
        <v>62.93017578125</v>
      </c>
      <c r="G36" s="27">
        <v>75.177742004394531</v>
      </c>
      <c r="H36" s="28"/>
      <c r="I36" s="28"/>
      <c r="J36" s="28"/>
      <c r="K36" s="28"/>
      <c r="M36" s="45">
        <f t="shared" si="0"/>
        <v>43466</v>
      </c>
      <c r="N36" s="29">
        <f t="shared" si="1"/>
        <v>7.7215724118571805E-2</v>
      </c>
      <c r="O36" s="29">
        <f t="shared" si="2"/>
        <v>-7.6123568918430529E-2</v>
      </c>
      <c r="P36" s="29">
        <f t="shared" si="3"/>
        <v>2.8865979381443196E-2</v>
      </c>
      <c r="Q36" s="29">
        <f t="shared" si="4"/>
        <v>0.11854643467039616</v>
      </c>
      <c r="R36" s="29">
        <f t="shared" si="5"/>
        <v>1.7498120517644988E-3</v>
      </c>
      <c r="S36" s="29">
        <f t="shared" si="6"/>
        <v>0</v>
      </c>
      <c r="T36" s="29">
        <f t="shared" si="7"/>
        <v>0</v>
      </c>
      <c r="U36" s="29">
        <f t="shared" si="8"/>
        <v>0</v>
      </c>
      <c r="V36" s="29">
        <f t="shared" si="9"/>
        <v>0</v>
      </c>
    </row>
    <row r="37" spans="2:22" x14ac:dyDescent="0.25">
      <c r="B37" s="45">
        <v>43497</v>
      </c>
      <c r="C37" s="27">
        <v>77.061820983886719</v>
      </c>
      <c r="D37" s="27">
        <v>3854.785400390625</v>
      </c>
      <c r="E37" s="27">
        <v>123.9899978637695</v>
      </c>
      <c r="F37" s="27">
        <v>63.367752075195313</v>
      </c>
      <c r="G37" s="27">
        <v>75.316680908203125</v>
      </c>
      <c r="H37" s="28"/>
      <c r="I37" s="28"/>
      <c r="J37" s="28"/>
      <c r="K37" s="28"/>
      <c r="M37" s="45">
        <f t="shared" si="0"/>
        <v>43497</v>
      </c>
      <c r="N37" s="29">
        <f t="shared" si="1"/>
        <v>2.9778470098015486E-2</v>
      </c>
      <c r="O37" s="29">
        <f t="shared" si="2"/>
        <v>0.11481101020191953</v>
      </c>
      <c r="P37" s="29">
        <f t="shared" si="3"/>
        <v>-6.0922014928296297E-3</v>
      </c>
      <c r="Q37" s="29">
        <f t="shared" si="4"/>
        <v>6.9533620161235099E-3</v>
      </c>
      <c r="R37" s="29">
        <f t="shared" si="5"/>
        <v>1.8481388254580899E-3</v>
      </c>
      <c r="S37" s="29">
        <f t="shared" si="6"/>
        <v>0</v>
      </c>
      <c r="T37" s="29">
        <f t="shared" si="7"/>
        <v>0</v>
      </c>
      <c r="U37" s="29">
        <f t="shared" si="8"/>
        <v>0</v>
      </c>
      <c r="V37" s="29">
        <f t="shared" si="9"/>
        <v>0</v>
      </c>
    </row>
    <row r="38" spans="2:22" x14ac:dyDescent="0.25">
      <c r="B38" s="45">
        <v>43525</v>
      </c>
      <c r="C38" s="27">
        <v>78.206886291503906</v>
      </c>
      <c r="D38" s="27">
        <v>4105.404296875</v>
      </c>
      <c r="E38" s="27">
        <v>122.0100021362305</v>
      </c>
      <c r="F38" s="27">
        <v>66.039642333984375</v>
      </c>
      <c r="G38" s="27">
        <v>75.448432922363281</v>
      </c>
      <c r="H38" s="28"/>
      <c r="I38" s="28"/>
      <c r="J38" s="28"/>
      <c r="K38" s="28"/>
      <c r="M38" s="45">
        <f t="shared" si="0"/>
        <v>43525</v>
      </c>
      <c r="N38" s="29">
        <f t="shared" si="1"/>
        <v>1.4859048138203379E-2</v>
      </c>
      <c r="O38" s="29">
        <f t="shared" si="2"/>
        <v>6.5015006142489451E-2</v>
      </c>
      <c r="P38" s="29">
        <f t="shared" si="3"/>
        <v>-1.5968995577485767E-2</v>
      </c>
      <c r="Q38" s="29">
        <f t="shared" si="4"/>
        <v>4.2164826292377722E-2</v>
      </c>
      <c r="R38" s="29">
        <f t="shared" si="5"/>
        <v>1.7493072261207665E-3</v>
      </c>
      <c r="S38" s="29">
        <f t="shared" si="6"/>
        <v>0</v>
      </c>
      <c r="T38" s="29">
        <f t="shared" si="7"/>
        <v>0</v>
      </c>
      <c r="U38" s="29">
        <f t="shared" si="8"/>
        <v>0</v>
      </c>
      <c r="V38" s="29">
        <f t="shared" si="9"/>
        <v>0</v>
      </c>
    </row>
    <row r="39" spans="2:22" x14ac:dyDescent="0.25">
      <c r="B39" s="45">
        <v>43556</v>
      </c>
      <c r="C39" s="27">
        <v>81.113555908203125</v>
      </c>
      <c r="D39" s="27">
        <v>5350.7265625</v>
      </c>
      <c r="E39" s="27">
        <v>121.1999969482422</v>
      </c>
      <c r="F39" s="27">
        <v>65.933250427246094</v>
      </c>
      <c r="G39" s="27">
        <v>75.593727111816406</v>
      </c>
      <c r="H39" s="28"/>
      <c r="I39" s="28"/>
      <c r="J39" s="28"/>
      <c r="K39" s="28"/>
      <c r="M39" s="45">
        <f t="shared" ref="M39:M70" si="10">B39</f>
        <v>43556</v>
      </c>
      <c r="N39" s="29">
        <f t="shared" si="1"/>
        <v>3.7166415318787394E-2</v>
      </c>
      <c r="O39" s="29">
        <f t="shared" si="2"/>
        <v>0.30333730263129732</v>
      </c>
      <c r="P39" s="29">
        <f t="shared" si="3"/>
        <v>-6.6388425031242981E-3</v>
      </c>
      <c r="Q39" s="29">
        <f t="shared" si="4"/>
        <v>-1.6110309350286789E-3</v>
      </c>
      <c r="R39" s="29">
        <f t="shared" si="5"/>
        <v>1.9257416466507138E-3</v>
      </c>
      <c r="S39" s="29">
        <f t="shared" si="6"/>
        <v>0</v>
      </c>
      <c r="T39" s="29">
        <f t="shared" si="7"/>
        <v>0</v>
      </c>
      <c r="U39" s="29">
        <f t="shared" si="8"/>
        <v>0</v>
      </c>
      <c r="V39" s="29">
        <f t="shared" si="9"/>
        <v>0</v>
      </c>
    </row>
    <row r="40" spans="2:22" x14ac:dyDescent="0.25">
      <c r="B40" s="45">
        <v>43586</v>
      </c>
      <c r="C40" s="27">
        <v>76.418846130371094</v>
      </c>
      <c r="D40" s="27">
        <v>8574.501953125</v>
      </c>
      <c r="E40" s="27">
        <v>123.3300018310547</v>
      </c>
      <c r="F40" s="27">
        <v>66.0244140625</v>
      </c>
      <c r="G40" s="27">
        <v>75.754119873046875</v>
      </c>
      <c r="H40" s="28"/>
      <c r="I40" s="28"/>
      <c r="J40" s="28"/>
      <c r="K40" s="28"/>
      <c r="M40" s="45">
        <f t="shared" si="10"/>
        <v>43586</v>
      </c>
      <c r="N40" s="29">
        <f t="shared" ref="N40:N71" si="11">IF(OR(NOT(ISNUMBER(C40)),NOT(ISNUMBER(C39)),C39=0),0,IFERROR(C40/C39-1,0))</f>
        <v>-5.7878239034978018E-2</v>
      </c>
      <c r="O40" s="29">
        <f t="shared" ref="O40:O71" si="12">IF(OR(NOT(ISNUMBER(D40)),NOT(ISNUMBER(D39)),D39=0),0,IFERROR(D40/D39-1,0))</f>
        <v>0.60249301715742454</v>
      </c>
      <c r="P40" s="29">
        <f t="shared" ref="P40:P71" si="13">IF(OR(NOT(ISNUMBER(E40)),NOT(ISNUMBER(E39)),E39=0),0,IFERROR(E40/E39-1,0))</f>
        <v>1.7574298155486723E-2</v>
      </c>
      <c r="Q40" s="29">
        <f t="shared" ref="Q40:Q71" si="14">IF(OR(NOT(ISNUMBER(F40)),NOT(ISNUMBER(F39)),F39=0),0,IFERROR(F40/F39-1,0))</f>
        <v>1.3826655695443613E-3</v>
      </c>
      <c r="R40" s="29">
        <f t="shared" ref="R40:R71" si="15">IF(OR(NOT(ISNUMBER(G40)),NOT(ISNUMBER(G39)),G39=0),0,IFERROR(G40/G39-1,0))</f>
        <v>2.1217734243110797E-3</v>
      </c>
      <c r="S40" s="29">
        <f t="shared" ref="S40:S71" si="16">IF(OR(NOT(ISNUMBER(H40)),NOT(ISNUMBER(H39)),H39=0),0,IFERROR(H40/H39-1,0))</f>
        <v>0</v>
      </c>
      <c r="T40" s="29">
        <f t="shared" ref="T40:T71" si="17">IF(OR(NOT(ISNUMBER(I40)),NOT(ISNUMBER(I39)),I39=0),0,IFERROR(I40/I39-1,0))</f>
        <v>0</v>
      </c>
      <c r="U40" s="29">
        <f t="shared" ref="U40:U71" si="18">IF(OR(NOT(ISNUMBER(J40)),NOT(ISNUMBER(J39)),J39=0),0,IFERROR(J40/J39-1,0))</f>
        <v>0</v>
      </c>
      <c r="V40" s="29">
        <f t="shared" ref="V40:V71" si="19">IF(OR(NOT(ISNUMBER(K40)),NOT(ISNUMBER(K39)),K39=0),0,IFERROR(K40/K39-1,0))</f>
        <v>0</v>
      </c>
    </row>
    <row r="41" spans="2:22" x14ac:dyDescent="0.25">
      <c r="B41" s="45">
        <v>43617</v>
      </c>
      <c r="C41" s="27">
        <v>81.264205932617188</v>
      </c>
      <c r="D41" s="27">
        <v>10817.1552734375</v>
      </c>
      <c r="E41" s="27">
        <v>133.19999694824219</v>
      </c>
      <c r="F41" s="27">
        <v>67.050666809082031</v>
      </c>
      <c r="G41" s="27">
        <v>75.891639709472656</v>
      </c>
      <c r="H41" s="28"/>
      <c r="I41" s="28"/>
      <c r="J41" s="28"/>
      <c r="K41" s="28"/>
      <c r="M41" s="45">
        <f t="shared" si="10"/>
        <v>43617</v>
      </c>
      <c r="N41" s="29">
        <f t="shared" si="11"/>
        <v>6.3405299184704722E-2</v>
      </c>
      <c r="O41" s="29">
        <f t="shared" si="12"/>
        <v>0.26154910600902714</v>
      </c>
      <c r="P41" s="29">
        <f t="shared" si="13"/>
        <v>8.0029149198489691E-2</v>
      </c>
      <c r="Q41" s="29">
        <f t="shared" si="14"/>
        <v>1.5543534329748976E-2</v>
      </c>
      <c r="R41" s="29">
        <f t="shared" si="15"/>
        <v>1.8153446526241179E-3</v>
      </c>
      <c r="S41" s="29">
        <f t="shared" si="16"/>
        <v>0</v>
      </c>
      <c r="T41" s="29">
        <f t="shared" si="17"/>
        <v>0</v>
      </c>
      <c r="U41" s="29">
        <f t="shared" si="18"/>
        <v>0</v>
      </c>
      <c r="V41" s="29">
        <f t="shared" si="19"/>
        <v>0</v>
      </c>
    </row>
    <row r="42" spans="2:22" x14ac:dyDescent="0.25">
      <c r="B42" s="45">
        <v>43647</v>
      </c>
      <c r="C42" s="27">
        <v>82.014175415039063</v>
      </c>
      <c r="D42" s="27">
        <v>10085.6279296875</v>
      </c>
      <c r="E42" s="27">
        <v>133.21000671386719</v>
      </c>
      <c r="F42" s="27">
        <v>68.193740844726563</v>
      </c>
      <c r="G42" s="27">
        <v>76.028572082519531</v>
      </c>
      <c r="H42" s="28"/>
      <c r="I42" s="28"/>
      <c r="J42" s="28"/>
      <c r="K42" s="28"/>
      <c r="M42" s="45">
        <f t="shared" si="10"/>
        <v>43647</v>
      </c>
      <c r="N42" s="29">
        <f t="shared" si="11"/>
        <v>9.2287800491612781E-3</v>
      </c>
      <c r="O42" s="29">
        <f t="shared" si="12"/>
        <v>-6.7626591766351996E-2</v>
      </c>
      <c r="P42" s="29">
        <f t="shared" si="13"/>
        <v>7.5148392299828615E-5</v>
      </c>
      <c r="Q42" s="29">
        <f t="shared" si="14"/>
        <v>1.7047914510668338E-2</v>
      </c>
      <c r="R42" s="29">
        <f t="shared" si="15"/>
        <v>1.8043143298929198E-3</v>
      </c>
      <c r="S42" s="29">
        <f t="shared" si="16"/>
        <v>0</v>
      </c>
      <c r="T42" s="29">
        <f t="shared" si="17"/>
        <v>0</v>
      </c>
      <c r="U42" s="29">
        <f t="shared" si="18"/>
        <v>0</v>
      </c>
      <c r="V42" s="29">
        <f t="shared" si="19"/>
        <v>0</v>
      </c>
    </row>
    <row r="43" spans="2:22" x14ac:dyDescent="0.25">
      <c r="B43" s="45">
        <v>43678</v>
      </c>
      <c r="C43" s="27">
        <v>80.210670471191406</v>
      </c>
      <c r="D43" s="27">
        <v>9630.6640625</v>
      </c>
      <c r="E43" s="27">
        <v>143.75</v>
      </c>
      <c r="F43" s="27">
        <v>70.7484130859375</v>
      </c>
      <c r="G43" s="27">
        <v>76.157424926757813</v>
      </c>
      <c r="H43" s="28"/>
      <c r="I43" s="28"/>
      <c r="J43" s="28"/>
      <c r="K43" s="28"/>
      <c r="M43" s="45">
        <f t="shared" si="10"/>
        <v>43678</v>
      </c>
      <c r="N43" s="29">
        <f t="shared" si="11"/>
        <v>-2.1990161270547204E-2</v>
      </c>
      <c r="O43" s="29">
        <f t="shared" si="12"/>
        <v>-4.5110118116522324E-2</v>
      </c>
      <c r="P43" s="29">
        <f t="shared" si="13"/>
        <v>7.9123134561298603E-2</v>
      </c>
      <c r="Q43" s="29">
        <f t="shared" si="14"/>
        <v>3.7461975389028623E-2</v>
      </c>
      <c r="R43" s="29">
        <f t="shared" si="15"/>
        <v>1.694795005467542E-3</v>
      </c>
      <c r="S43" s="29">
        <f t="shared" si="16"/>
        <v>0</v>
      </c>
      <c r="T43" s="29">
        <f t="shared" si="17"/>
        <v>0</v>
      </c>
      <c r="U43" s="29">
        <f t="shared" si="18"/>
        <v>0</v>
      </c>
      <c r="V43" s="29">
        <f t="shared" si="19"/>
        <v>0</v>
      </c>
    </row>
    <row r="44" spans="2:22" x14ac:dyDescent="0.25">
      <c r="B44" s="45">
        <v>43709</v>
      </c>
      <c r="C44" s="27">
        <v>81.942756652832031</v>
      </c>
      <c r="D44" s="27">
        <v>8293.8681640625</v>
      </c>
      <c r="E44" s="27">
        <v>138.8699951171875</v>
      </c>
      <c r="F44" s="27">
        <v>72.111808776855469</v>
      </c>
      <c r="G44" s="27">
        <v>76.280670166015625</v>
      </c>
      <c r="H44" s="28"/>
      <c r="I44" s="28"/>
      <c r="J44" s="28"/>
      <c r="K44" s="28"/>
      <c r="M44" s="45">
        <f t="shared" si="10"/>
        <v>43709</v>
      </c>
      <c r="N44" s="29">
        <f t="shared" si="11"/>
        <v>2.1594211486646531E-2</v>
      </c>
      <c r="O44" s="29">
        <f t="shared" si="12"/>
        <v>-0.13880620170759905</v>
      </c>
      <c r="P44" s="29">
        <f t="shared" si="13"/>
        <v>-3.39478600543478E-2</v>
      </c>
      <c r="Q44" s="29">
        <f t="shared" si="14"/>
        <v>1.9271042719528841E-2</v>
      </c>
      <c r="R44" s="29">
        <f t="shared" si="15"/>
        <v>1.6182957784660612E-3</v>
      </c>
      <c r="S44" s="29">
        <f t="shared" si="16"/>
        <v>0</v>
      </c>
      <c r="T44" s="29">
        <f t="shared" si="17"/>
        <v>0</v>
      </c>
      <c r="U44" s="29">
        <f t="shared" si="18"/>
        <v>0</v>
      </c>
      <c r="V44" s="29">
        <f t="shared" si="19"/>
        <v>0</v>
      </c>
    </row>
    <row r="45" spans="2:22" x14ac:dyDescent="0.25">
      <c r="B45" s="45">
        <v>43739</v>
      </c>
      <c r="C45" s="27">
        <v>84.031944274902344</v>
      </c>
      <c r="D45" s="27">
        <v>9199.5849609375</v>
      </c>
      <c r="E45" s="27">
        <v>142.42999267578119</v>
      </c>
      <c r="F45" s="27">
        <v>72.923782348632813</v>
      </c>
      <c r="G45" s="27">
        <v>76.403312683105469</v>
      </c>
      <c r="H45" s="28"/>
      <c r="I45" s="28"/>
      <c r="J45" s="28"/>
      <c r="K45" s="28"/>
      <c r="M45" s="45">
        <f t="shared" si="10"/>
        <v>43739</v>
      </c>
      <c r="N45" s="29">
        <f t="shared" si="11"/>
        <v>2.5495696110415134E-2</v>
      </c>
      <c r="O45" s="29">
        <f t="shared" si="12"/>
        <v>0.10920318227380199</v>
      </c>
      <c r="P45" s="29">
        <f t="shared" si="13"/>
        <v>2.5635469747007145E-2</v>
      </c>
      <c r="Q45" s="29">
        <f t="shared" si="14"/>
        <v>1.1259925184929687E-2</v>
      </c>
      <c r="R45" s="29">
        <f t="shared" si="15"/>
        <v>1.6077797536770966E-3</v>
      </c>
      <c r="S45" s="29">
        <f t="shared" si="16"/>
        <v>0</v>
      </c>
      <c r="T45" s="29">
        <f t="shared" si="17"/>
        <v>0</v>
      </c>
      <c r="U45" s="29">
        <f t="shared" si="18"/>
        <v>0</v>
      </c>
      <c r="V45" s="29">
        <f t="shared" si="19"/>
        <v>0</v>
      </c>
    </row>
    <row r="46" spans="2:22" x14ac:dyDescent="0.25">
      <c r="B46" s="45">
        <v>43770</v>
      </c>
      <c r="C46" s="27">
        <v>86.388984680175781</v>
      </c>
      <c r="D46" s="27">
        <v>7569.6298828125</v>
      </c>
      <c r="E46" s="27">
        <v>137.86000061035159</v>
      </c>
      <c r="F46" s="27">
        <v>71.972587585449219</v>
      </c>
      <c r="G46" s="27">
        <v>76.485992431640625</v>
      </c>
      <c r="H46" s="28"/>
      <c r="I46" s="28"/>
      <c r="J46" s="28"/>
      <c r="K46" s="28"/>
      <c r="M46" s="45">
        <f t="shared" si="10"/>
        <v>43770</v>
      </c>
      <c r="N46" s="29">
        <f t="shared" si="11"/>
        <v>2.8049337970362798E-2</v>
      </c>
      <c r="O46" s="29">
        <f t="shared" si="12"/>
        <v>-0.17717702320767481</v>
      </c>
      <c r="P46" s="29">
        <f t="shared" si="13"/>
        <v>-3.2085882892885165E-2</v>
      </c>
      <c r="Q46" s="29">
        <f t="shared" si="14"/>
        <v>-1.3043683864834899E-2</v>
      </c>
      <c r="R46" s="29">
        <f t="shared" si="15"/>
        <v>1.0821487397816298E-3</v>
      </c>
      <c r="S46" s="29">
        <f t="shared" si="16"/>
        <v>0</v>
      </c>
      <c r="T46" s="29">
        <f t="shared" si="17"/>
        <v>0</v>
      </c>
      <c r="U46" s="29">
        <f t="shared" si="18"/>
        <v>0</v>
      </c>
      <c r="V46" s="29">
        <f t="shared" si="19"/>
        <v>0</v>
      </c>
    </row>
    <row r="47" spans="2:22" x14ac:dyDescent="0.25">
      <c r="B47" s="45">
        <v>43800</v>
      </c>
      <c r="C47" s="27">
        <v>89.022041320800781</v>
      </c>
      <c r="D47" s="27">
        <v>7193.59912109375</v>
      </c>
      <c r="E47" s="27">
        <v>142.8999938964844</v>
      </c>
      <c r="F47" s="27">
        <v>72.526077270507813</v>
      </c>
      <c r="G47" s="27">
        <v>76.57135009765625</v>
      </c>
      <c r="H47" s="28"/>
      <c r="I47" s="28"/>
      <c r="J47" s="28"/>
      <c r="K47" s="28"/>
      <c r="M47" s="45">
        <f t="shared" si="10"/>
        <v>43800</v>
      </c>
      <c r="N47" s="29">
        <f t="shared" si="11"/>
        <v>3.0479078442384067E-2</v>
      </c>
      <c r="O47" s="29">
        <f t="shared" si="12"/>
        <v>-4.9676241446435898E-2</v>
      </c>
      <c r="P47" s="29">
        <f t="shared" si="13"/>
        <v>3.655877893383952E-2</v>
      </c>
      <c r="Q47" s="29">
        <f t="shared" si="14"/>
        <v>7.6902846434618866E-3</v>
      </c>
      <c r="R47" s="29">
        <f t="shared" si="15"/>
        <v>1.115990827887936E-3</v>
      </c>
      <c r="S47" s="29">
        <f t="shared" si="16"/>
        <v>0</v>
      </c>
      <c r="T47" s="29">
        <f t="shared" si="17"/>
        <v>0</v>
      </c>
      <c r="U47" s="29">
        <f t="shared" si="18"/>
        <v>0</v>
      </c>
      <c r="V47" s="29">
        <f t="shared" si="19"/>
        <v>0</v>
      </c>
    </row>
    <row r="48" spans="2:22" x14ac:dyDescent="0.25">
      <c r="B48" s="45">
        <v>43831</v>
      </c>
      <c r="C48" s="27">
        <v>88.075752258300781</v>
      </c>
      <c r="D48" s="27">
        <v>9350.529296875</v>
      </c>
      <c r="E48" s="27">
        <v>149.33000183105469</v>
      </c>
      <c r="F48" s="27">
        <v>73.417098999023438</v>
      </c>
      <c r="G48" s="27">
        <v>76.663490295410156</v>
      </c>
      <c r="H48" s="28"/>
      <c r="I48" s="28"/>
      <c r="J48" s="28"/>
      <c r="K48" s="28"/>
      <c r="M48" s="45">
        <f t="shared" si="10"/>
        <v>43831</v>
      </c>
      <c r="N48" s="29">
        <f t="shared" si="11"/>
        <v>-1.0629828843060851E-2</v>
      </c>
      <c r="O48" s="29">
        <f t="shared" si="12"/>
        <v>0.29984019674608997</v>
      </c>
      <c r="P48" s="29">
        <f t="shared" si="13"/>
        <v>4.4996558496903205E-2</v>
      </c>
      <c r="Q48" s="29">
        <f t="shared" si="14"/>
        <v>1.2285535934782432E-2</v>
      </c>
      <c r="R48" s="29">
        <f t="shared" si="15"/>
        <v>1.2033247113494294E-3</v>
      </c>
      <c r="S48" s="29">
        <f t="shared" si="16"/>
        <v>0</v>
      </c>
      <c r="T48" s="29">
        <f t="shared" si="17"/>
        <v>0</v>
      </c>
      <c r="U48" s="29">
        <f t="shared" si="18"/>
        <v>0</v>
      </c>
      <c r="V48" s="29">
        <f t="shared" si="19"/>
        <v>0</v>
      </c>
    </row>
    <row r="49" spans="2:22" x14ac:dyDescent="0.25">
      <c r="B49" s="45">
        <v>43862</v>
      </c>
      <c r="C49" s="27">
        <v>80.811958312988281</v>
      </c>
      <c r="D49" s="27">
        <v>8599.5087890625</v>
      </c>
      <c r="E49" s="27">
        <v>148.3800048828125</v>
      </c>
      <c r="F49" s="27">
        <v>68.258453369140625</v>
      </c>
      <c r="G49" s="27">
        <v>76.754043579101563</v>
      </c>
      <c r="H49" s="28"/>
      <c r="I49" s="28"/>
      <c r="J49" s="28"/>
      <c r="K49" s="28"/>
      <c r="M49" s="45">
        <f t="shared" si="10"/>
        <v>43862</v>
      </c>
      <c r="N49" s="29">
        <f t="shared" si="11"/>
        <v>-8.2472119273076294E-2</v>
      </c>
      <c r="O49" s="29">
        <f t="shared" si="12"/>
        <v>-8.0318502190404928E-2</v>
      </c>
      <c r="P49" s="29">
        <f t="shared" si="13"/>
        <v>-6.3617286318456978E-3</v>
      </c>
      <c r="Q49" s="29">
        <f t="shared" si="14"/>
        <v>-7.0264906952417605E-2</v>
      </c>
      <c r="R49" s="29">
        <f t="shared" si="15"/>
        <v>1.1811787246116534E-3</v>
      </c>
      <c r="S49" s="29">
        <f t="shared" si="16"/>
        <v>0</v>
      </c>
      <c r="T49" s="29">
        <f t="shared" si="17"/>
        <v>0</v>
      </c>
      <c r="U49" s="29">
        <f t="shared" si="18"/>
        <v>0</v>
      </c>
      <c r="V49" s="29">
        <f t="shared" si="19"/>
        <v>0</v>
      </c>
    </row>
    <row r="50" spans="2:22" x14ac:dyDescent="0.25">
      <c r="B50" s="45">
        <v>43891</v>
      </c>
      <c r="C50" s="27">
        <v>70.231704711914063</v>
      </c>
      <c r="D50" s="27">
        <v>6438.64453125</v>
      </c>
      <c r="E50" s="27">
        <v>148.05000305175781</v>
      </c>
      <c r="F50" s="27">
        <v>55.021892547607422</v>
      </c>
      <c r="G50" s="27">
        <v>76.910980224609375</v>
      </c>
      <c r="H50" s="28"/>
      <c r="I50" s="28"/>
      <c r="J50" s="28"/>
      <c r="K50" s="28"/>
      <c r="M50" s="45">
        <f t="shared" si="10"/>
        <v>43891</v>
      </c>
      <c r="N50" s="29">
        <f t="shared" si="11"/>
        <v>-0.13092435602286023</v>
      </c>
      <c r="O50" s="29">
        <f t="shared" si="12"/>
        <v>-0.25127763815543147</v>
      </c>
      <c r="P50" s="29">
        <f t="shared" si="13"/>
        <v>-2.2240316767432322E-3</v>
      </c>
      <c r="Q50" s="29">
        <f t="shared" si="14"/>
        <v>-0.19391826459867312</v>
      </c>
      <c r="R50" s="29">
        <f t="shared" si="15"/>
        <v>2.0446694166160739E-3</v>
      </c>
      <c r="S50" s="29">
        <f t="shared" si="16"/>
        <v>0</v>
      </c>
      <c r="T50" s="29">
        <f t="shared" si="17"/>
        <v>0</v>
      </c>
      <c r="U50" s="29">
        <f t="shared" si="18"/>
        <v>0</v>
      </c>
      <c r="V50" s="29">
        <f t="shared" si="19"/>
        <v>0</v>
      </c>
    </row>
    <row r="51" spans="2:22" x14ac:dyDescent="0.25">
      <c r="B51" s="45">
        <v>43922</v>
      </c>
      <c r="C51" s="27">
        <v>77.828948974609375</v>
      </c>
      <c r="D51" s="27">
        <v>8658.5537109375</v>
      </c>
      <c r="E51" s="27">
        <v>158.80000305175781</v>
      </c>
      <c r="F51" s="27">
        <v>59.9530029296875</v>
      </c>
      <c r="G51" s="27">
        <v>76.895881652832031</v>
      </c>
      <c r="H51" s="28"/>
      <c r="I51" s="28"/>
      <c r="J51" s="28"/>
      <c r="K51" s="28"/>
      <c r="M51" s="45">
        <f t="shared" si="10"/>
        <v>43922</v>
      </c>
      <c r="N51" s="29">
        <f t="shared" si="11"/>
        <v>0.10817399768179792</v>
      </c>
      <c r="O51" s="29">
        <f t="shared" si="12"/>
        <v>0.34477896223547644</v>
      </c>
      <c r="P51" s="29">
        <f t="shared" si="13"/>
        <v>7.2610603028774312E-2</v>
      </c>
      <c r="Q51" s="29">
        <f t="shared" si="14"/>
        <v>8.9620879140306808E-2</v>
      </c>
      <c r="R51" s="29">
        <f t="shared" si="15"/>
        <v>-1.9631230460526172E-4</v>
      </c>
      <c r="S51" s="29">
        <f t="shared" si="16"/>
        <v>0</v>
      </c>
      <c r="T51" s="29">
        <f t="shared" si="17"/>
        <v>0</v>
      </c>
      <c r="U51" s="29">
        <f t="shared" si="18"/>
        <v>0</v>
      </c>
      <c r="V51" s="29">
        <f t="shared" si="19"/>
        <v>0</v>
      </c>
    </row>
    <row r="52" spans="2:22" x14ac:dyDescent="0.25">
      <c r="B52" s="45">
        <v>43952</v>
      </c>
      <c r="C52" s="27">
        <v>81.740211486816406</v>
      </c>
      <c r="D52" s="27">
        <v>9461.05859375</v>
      </c>
      <c r="E52" s="27">
        <v>162.9100036621094</v>
      </c>
      <c r="F52" s="27">
        <v>60.992763519287109</v>
      </c>
      <c r="G52" s="27">
        <v>76.882408142089844</v>
      </c>
      <c r="H52" s="28"/>
      <c r="I52" s="28"/>
      <c r="J52" s="28"/>
      <c r="K52" s="28"/>
      <c r="M52" s="45">
        <f t="shared" si="10"/>
        <v>43952</v>
      </c>
      <c r="N52" s="29">
        <f t="shared" si="11"/>
        <v>5.0254597598164086E-2</v>
      </c>
      <c r="O52" s="29">
        <f t="shared" si="12"/>
        <v>9.2683479204936248E-2</v>
      </c>
      <c r="P52" s="29">
        <f t="shared" si="13"/>
        <v>2.5881615436820882E-2</v>
      </c>
      <c r="Q52" s="29">
        <f t="shared" si="14"/>
        <v>1.7342927606462499E-2</v>
      </c>
      <c r="R52" s="29">
        <f t="shared" si="15"/>
        <v>-1.7521758581318103E-4</v>
      </c>
      <c r="S52" s="29">
        <f t="shared" si="16"/>
        <v>0</v>
      </c>
      <c r="T52" s="29">
        <f t="shared" si="17"/>
        <v>0</v>
      </c>
      <c r="U52" s="29">
        <f t="shared" si="18"/>
        <v>0</v>
      </c>
      <c r="V52" s="29">
        <f t="shared" si="19"/>
        <v>0</v>
      </c>
    </row>
    <row r="53" spans="2:22" x14ac:dyDescent="0.25">
      <c r="B53" s="45">
        <v>43983</v>
      </c>
      <c r="C53" s="27">
        <v>83.880157470703125</v>
      </c>
      <c r="D53" s="27">
        <v>9137.9931640625</v>
      </c>
      <c r="E53" s="27">
        <v>167.3699951171875</v>
      </c>
      <c r="F53" s="27">
        <v>62.471778869628913</v>
      </c>
      <c r="G53" s="27">
        <v>76.882408142089844</v>
      </c>
      <c r="H53" s="28"/>
      <c r="I53" s="28"/>
      <c r="J53" s="28"/>
      <c r="K53" s="28"/>
      <c r="M53" s="45">
        <f t="shared" si="10"/>
        <v>43983</v>
      </c>
      <c r="N53" s="29">
        <f t="shared" si="11"/>
        <v>2.6179843983298978E-2</v>
      </c>
      <c r="O53" s="29">
        <f t="shared" si="12"/>
        <v>-3.4146858566219795E-2</v>
      </c>
      <c r="P53" s="29">
        <f t="shared" si="13"/>
        <v>2.7377026301764307E-2</v>
      </c>
      <c r="Q53" s="29">
        <f t="shared" si="14"/>
        <v>2.4249029966876501E-2</v>
      </c>
      <c r="R53" s="29">
        <f t="shared" si="15"/>
        <v>0</v>
      </c>
      <c r="S53" s="29">
        <f t="shared" si="16"/>
        <v>0</v>
      </c>
      <c r="T53" s="29">
        <f t="shared" si="17"/>
        <v>0</v>
      </c>
      <c r="U53" s="29">
        <f t="shared" si="18"/>
        <v>0</v>
      </c>
      <c r="V53" s="29">
        <f t="shared" si="19"/>
        <v>0</v>
      </c>
    </row>
    <row r="54" spans="2:22" x14ac:dyDescent="0.25">
      <c r="B54" s="45">
        <v>44013</v>
      </c>
      <c r="C54" s="27">
        <v>87.985870361328125</v>
      </c>
      <c r="D54" s="27">
        <v>11323.466796875</v>
      </c>
      <c r="E54" s="27">
        <v>185.42999267578119</v>
      </c>
      <c r="F54" s="27">
        <v>64.746978759765625</v>
      </c>
      <c r="G54" s="27">
        <v>76.89080810546875</v>
      </c>
      <c r="H54" s="28"/>
      <c r="I54" s="28"/>
      <c r="J54" s="28"/>
      <c r="K54" s="28"/>
      <c r="M54" s="45">
        <f t="shared" si="10"/>
        <v>44013</v>
      </c>
      <c r="N54" s="29">
        <f t="shared" si="11"/>
        <v>4.8947367463622271E-2</v>
      </c>
      <c r="O54" s="29">
        <f t="shared" si="12"/>
        <v>0.23916341296986676</v>
      </c>
      <c r="P54" s="29">
        <f t="shared" si="13"/>
        <v>0.10790463097013658</v>
      </c>
      <c r="Q54" s="29">
        <f t="shared" si="14"/>
        <v>3.6419643098122512E-2</v>
      </c>
      <c r="R54" s="29">
        <f t="shared" si="15"/>
        <v>1.0925728761490561E-4</v>
      </c>
      <c r="S54" s="29">
        <f t="shared" si="16"/>
        <v>0</v>
      </c>
      <c r="T54" s="29">
        <f t="shared" si="17"/>
        <v>0</v>
      </c>
      <c r="U54" s="29">
        <f t="shared" si="18"/>
        <v>0</v>
      </c>
      <c r="V54" s="29">
        <f t="shared" si="19"/>
        <v>0</v>
      </c>
    </row>
    <row r="55" spans="2:22" x14ac:dyDescent="0.25">
      <c r="B55" s="45">
        <v>44044</v>
      </c>
      <c r="C55" s="27">
        <v>93.730201721191406</v>
      </c>
      <c r="D55" s="27">
        <v>11680.8203125</v>
      </c>
      <c r="E55" s="27">
        <v>184.83000183105469</v>
      </c>
      <c r="F55" s="27">
        <v>65.033370971679688</v>
      </c>
      <c r="G55" s="27">
        <v>76.89080810546875</v>
      </c>
      <c r="H55" s="28"/>
      <c r="I55" s="28"/>
      <c r="J55" s="28"/>
      <c r="K55" s="28"/>
      <c r="M55" s="45">
        <f t="shared" si="10"/>
        <v>44044</v>
      </c>
      <c r="N55" s="29">
        <f t="shared" si="11"/>
        <v>6.5286975468598074E-2</v>
      </c>
      <c r="O55" s="29">
        <f t="shared" si="12"/>
        <v>3.1558666796605239E-2</v>
      </c>
      <c r="P55" s="29">
        <f t="shared" si="13"/>
        <v>-3.2356731296191432E-3</v>
      </c>
      <c r="Q55" s="29">
        <f t="shared" si="14"/>
        <v>4.4232521331486474E-3</v>
      </c>
      <c r="R55" s="29">
        <f t="shared" si="15"/>
        <v>0</v>
      </c>
      <c r="S55" s="29">
        <f t="shared" si="16"/>
        <v>0</v>
      </c>
      <c r="T55" s="29">
        <f t="shared" si="17"/>
        <v>0</v>
      </c>
      <c r="U55" s="29">
        <f t="shared" si="18"/>
        <v>0</v>
      </c>
      <c r="V55" s="29">
        <f t="shared" si="19"/>
        <v>0</v>
      </c>
    </row>
    <row r="56" spans="2:22" x14ac:dyDescent="0.25">
      <c r="B56" s="45">
        <v>44075</v>
      </c>
      <c r="C56" s="27">
        <v>90.59857177734375</v>
      </c>
      <c r="D56" s="27">
        <v>10784.4912109375</v>
      </c>
      <c r="E56" s="27">
        <v>177.1199951171875</v>
      </c>
      <c r="F56" s="27">
        <v>63.300666809082031</v>
      </c>
      <c r="G56" s="27">
        <v>76.8740234375</v>
      </c>
      <c r="H56" s="28"/>
      <c r="I56" s="28"/>
      <c r="J56" s="28"/>
      <c r="K56" s="28"/>
      <c r="M56" s="45">
        <f t="shared" si="10"/>
        <v>44075</v>
      </c>
      <c r="N56" s="29">
        <f t="shared" si="11"/>
        <v>-3.341110854709306E-2</v>
      </c>
      <c r="O56" s="29">
        <f t="shared" si="12"/>
        <v>-7.6735115992094372E-2</v>
      </c>
      <c r="P56" s="29">
        <f t="shared" si="13"/>
        <v>-4.1714043377625298E-2</v>
      </c>
      <c r="Q56" s="29">
        <f t="shared" si="14"/>
        <v>-2.6643308453935144E-2</v>
      </c>
      <c r="R56" s="29">
        <f t="shared" si="15"/>
        <v>-2.1829225602265634E-4</v>
      </c>
      <c r="S56" s="29">
        <f t="shared" si="16"/>
        <v>0</v>
      </c>
      <c r="T56" s="29">
        <f t="shared" si="17"/>
        <v>0</v>
      </c>
      <c r="U56" s="29">
        <f t="shared" si="18"/>
        <v>0</v>
      </c>
      <c r="V56" s="29">
        <f t="shared" si="19"/>
        <v>0</v>
      </c>
    </row>
    <row r="57" spans="2:22" x14ac:dyDescent="0.25">
      <c r="B57" s="45">
        <v>44105</v>
      </c>
      <c r="C57" s="27">
        <v>87.876609802246094</v>
      </c>
      <c r="D57" s="27">
        <v>13780.9951171875</v>
      </c>
      <c r="E57" s="27">
        <v>176.19999694824219</v>
      </c>
      <c r="F57" s="27">
        <v>61.400688171386719</v>
      </c>
      <c r="G57" s="27">
        <v>76.882408142089844</v>
      </c>
      <c r="H57" s="28"/>
      <c r="I57" s="28"/>
      <c r="J57" s="28"/>
      <c r="K57" s="28"/>
      <c r="M57" s="45">
        <f t="shared" si="10"/>
        <v>44105</v>
      </c>
      <c r="N57" s="29">
        <f t="shared" si="11"/>
        <v>-3.0044204027710131E-2</v>
      </c>
      <c r="O57" s="29">
        <f t="shared" si="12"/>
        <v>0.27785306210931693</v>
      </c>
      <c r="P57" s="29">
        <f t="shared" si="13"/>
        <v>-5.1942084141127776E-3</v>
      </c>
      <c r="Q57" s="29">
        <f t="shared" si="14"/>
        <v>-3.0015144128350824E-2</v>
      </c>
      <c r="R57" s="29">
        <f t="shared" si="15"/>
        <v>1.0907071355070741E-4</v>
      </c>
      <c r="S57" s="29">
        <f t="shared" si="16"/>
        <v>0</v>
      </c>
      <c r="T57" s="29">
        <f t="shared" si="17"/>
        <v>0</v>
      </c>
      <c r="U57" s="29">
        <f t="shared" si="18"/>
        <v>0</v>
      </c>
      <c r="V57" s="29">
        <f t="shared" si="19"/>
        <v>0</v>
      </c>
    </row>
    <row r="58" spans="2:22" x14ac:dyDescent="0.25">
      <c r="B58" s="45">
        <v>44136</v>
      </c>
      <c r="C58" s="27">
        <v>99.174140930175781</v>
      </c>
      <c r="D58" s="27">
        <v>19625.8359375</v>
      </c>
      <c r="E58" s="27">
        <v>166.66999816894531</v>
      </c>
      <c r="F58" s="27">
        <v>67.341156005859375</v>
      </c>
      <c r="G58" s="27">
        <v>76.8740234375</v>
      </c>
      <c r="H58" s="28"/>
      <c r="I58" s="28"/>
      <c r="J58" s="28"/>
      <c r="K58" s="28"/>
      <c r="M58" s="45">
        <f t="shared" si="10"/>
        <v>44136</v>
      </c>
      <c r="N58" s="29">
        <f t="shared" si="11"/>
        <v>0.12856129922801052</v>
      </c>
      <c r="O58" s="29">
        <f t="shared" si="12"/>
        <v>0.42412327779021419</v>
      </c>
      <c r="P58" s="29">
        <f t="shared" si="13"/>
        <v>-5.4086259616089927E-2</v>
      </c>
      <c r="Q58" s="29">
        <f t="shared" si="14"/>
        <v>9.6749206098327933E-2</v>
      </c>
      <c r="R58" s="29">
        <f t="shared" si="15"/>
        <v>-1.0905881842759868E-4</v>
      </c>
      <c r="S58" s="29">
        <f t="shared" si="16"/>
        <v>0</v>
      </c>
      <c r="T58" s="29">
        <f t="shared" si="17"/>
        <v>0</v>
      </c>
      <c r="U58" s="29">
        <f t="shared" si="18"/>
        <v>0</v>
      </c>
      <c r="V58" s="29">
        <f t="shared" si="19"/>
        <v>0</v>
      </c>
    </row>
    <row r="59" spans="2:22" x14ac:dyDescent="0.25">
      <c r="B59" s="45">
        <v>44166</v>
      </c>
      <c r="C59" s="27">
        <v>103.0739059448242</v>
      </c>
      <c r="D59" s="27">
        <v>29001.720703125</v>
      </c>
      <c r="E59" s="27">
        <v>178.36000061035159</v>
      </c>
      <c r="F59" s="27">
        <v>69.182289123535156</v>
      </c>
      <c r="G59" s="27">
        <v>76.876548767089844</v>
      </c>
      <c r="H59" s="28"/>
      <c r="I59" s="28"/>
      <c r="J59" s="28"/>
      <c r="K59" s="28"/>
      <c r="M59" s="45">
        <f t="shared" si="10"/>
        <v>44166</v>
      </c>
      <c r="N59" s="29">
        <f t="shared" si="11"/>
        <v>3.9322397734648185E-2</v>
      </c>
      <c r="O59" s="29">
        <f t="shared" si="12"/>
        <v>0.47773174072601199</v>
      </c>
      <c r="P59" s="29">
        <f t="shared" si="13"/>
        <v>7.0138612646750476E-2</v>
      </c>
      <c r="Q59" s="29">
        <f t="shared" si="14"/>
        <v>2.7340384794041661E-2</v>
      </c>
      <c r="R59" s="29">
        <f t="shared" si="15"/>
        <v>3.2850233107728499E-5</v>
      </c>
      <c r="S59" s="29">
        <f t="shared" si="16"/>
        <v>0</v>
      </c>
      <c r="T59" s="29">
        <f t="shared" si="17"/>
        <v>0</v>
      </c>
      <c r="U59" s="29">
        <f t="shared" si="18"/>
        <v>0</v>
      </c>
      <c r="V59" s="29">
        <f t="shared" si="19"/>
        <v>0</v>
      </c>
    </row>
    <row r="60" spans="2:22" x14ac:dyDescent="0.25">
      <c r="B60" s="45">
        <v>44197</v>
      </c>
      <c r="C60" s="27">
        <v>102.2303161621094</v>
      </c>
      <c r="D60" s="27">
        <v>33114.359375</v>
      </c>
      <c r="E60" s="27">
        <v>172.61000061035159</v>
      </c>
      <c r="F60" s="27">
        <v>69.206703186035156</v>
      </c>
      <c r="G60" s="27">
        <v>76.876548767089844</v>
      </c>
      <c r="H60" s="28"/>
      <c r="I60" s="28"/>
      <c r="J60" s="28"/>
      <c r="K60" s="28"/>
      <c r="M60" s="45">
        <f t="shared" si="10"/>
        <v>44197</v>
      </c>
      <c r="N60" s="29">
        <f t="shared" si="11"/>
        <v>-8.184319542197005E-3</v>
      </c>
      <c r="O60" s="29">
        <f t="shared" si="12"/>
        <v>0.14180671257315614</v>
      </c>
      <c r="P60" s="29">
        <f t="shared" si="13"/>
        <v>-3.2238169882952361E-2</v>
      </c>
      <c r="Q60" s="29">
        <f t="shared" si="14"/>
        <v>3.528946903794683E-4</v>
      </c>
      <c r="R60" s="29">
        <f t="shared" si="15"/>
        <v>0</v>
      </c>
      <c r="S60" s="29">
        <f t="shared" si="16"/>
        <v>0</v>
      </c>
      <c r="T60" s="29">
        <f t="shared" si="17"/>
        <v>0</v>
      </c>
      <c r="U60" s="29">
        <f t="shared" si="18"/>
        <v>0</v>
      </c>
      <c r="V60" s="29">
        <f t="shared" si="19"/>
        <v>0</v>
      </c>
    </row>
    <row r="61" spans="2:22" x14ac:dyDescent="0.25">
      <c r="B61" s="45">
        <v>44228</v>
      </c>
      <c r="C61" s="27">
        <v>104.7794189453125</v>
      </c>
      <c r="D61" s="27">
        <v>45137.76953125</v>
      </c>
      <c r="E61" s="27">
        <v>161.80999755859381</v>
      </c>
      <c r="F61" s="27">
        <v>71.577140808105469</v>
      </c>
      <c r="G61" s="27">
        <v>76.868156433105469</v>
      </c>
      <c r="H61" s="28"/>
      <c r="I61" s="28"/>
      <c r="J61" s="28"/>
      <c r="K61" s="28"/>
      <c r="M61" s="45">
        <f t="shared" si="10"/>
        <v>44228</v>
      </c>
      <c r="N61" s="29">
        <f t="shared" si="11"/>
        <v>2.4934900711457431E-2</v>
      </c>
      <c r="O61" s="29">
        <f t="shared" si="12"/>
        <v>0.36308750593940786</v>
      </c>
      <c r="P61" s="29">
        <f t="shared" si="13"/>
        <v>-6.2568814168175724E-2</v>
      </c>
      <c r="Q61" s="29">
        <f t="shared" si="14"/>
        <v>3.4251561090814064E-2</v>
      </c>
      <c r="R61" s="29">
        <f t="shared" si="15"/>
        <v>-1.0916637282720743E-4</v>
      </c>
      <c r="S61" s="29">
        <f t="shared" si="16"/>
        <v>0</v>
      </c>
      <c r="T61" s="29">
        <f t="shared" si="17"/>
        <v>0</v>
      </c>
      <c r="U61" s="29">
        <f t="shared" si="18"/>
        <v>0</v>
      </c>
      <c r="V61" s="29">
        <f t="shared" si="19"/>
        <v>0</v>
      </c>
    </row>
    <row r="62" spans="2:22" x14ac:dyDescent="0.25">
      <c r="B62" s="45">
        <v>44256</v>
      </c>
      <c r="C62" s="27">
        <v>108.64894104003911</v>
      </c>
      <c r="D62" s="27">
        <v>58918.83203125</v>
      </c>
      <c r="E62" s="27">
        <v>159.96000671386719</v>
      </c>
      <c r="F62" s="27">
        <v>75.264823913574219</v>
      </c>
      <c r="G62" s="27">
        <v>76.859733581542969</v>
      </c>
      <c r="H62" s="28"/>
      <c r="I62" s="28"/>
      <c r="J62" s="28"/>
      <c r="K62" s="28"/>
      <c r="M62" s="45">
        <f t="shared" si="10"/>
        <v>44256</v>
      </c>
      <c r="N62" s="29">
        <f t="shared" si="11"/>
        <v>3.6930173250399712E-2</v>
      </c>
      <c r="O62" s="29">
        <f t="shared" si="12"/>
        <v>0.30531110958991947</v>
      </c>
      <c r="P62" s="29">
        <f t="shared" si="13"/>
        <v>-1.1433105943016386E-2</v>
      </c>
      <c r="Q62" s="29">
        <f t="shared" si="14"/>
        <v>5.1520402517267749E-2</v>
      </c>
      <c r="R62" s="29">
        <f t="shared" si="15"/>
        <v>-1.0957530339406052E-4</v>
      </c>
      <c r="S62" s="29">
        <f t="shared" si="16"/>
        <v>0</v>
      </c>
      <c r="T62" s="29">
        <f t="shared" si="17"/>
        <v>0</v>
      </c>
      <c r="U62" s="29">
        <f t="shared" si="18"/>
        <v>0</v>
      </c>
      <c r="V62" s="29">
        <f t="shared" si="19"/>
        <v>0</v>
      </c>
    </row>
    <row r="63" spans="2:22" x14ac:dyDescent="0.25">
      <c r="B63" s="45">
        <v>44287</v>
      </c>
      <c r="C63" s="27">
        <v>113.3437042236328</v>
      </c>
      <c r="D63" s="27">
        <v>57750.17578125</v>
      </c>
      <c r="E63" s="27">
        <v>165.6600036621094</v>
      </c>
      <c r="F63" s="27">
        <v>81.180473327636719</v>
      </c>
      <c r="G63" s="27">
        <v>76.859733581542969</v>
      </c>
      <c r="H63" s="28"/>
      <c r="I63" s="28"/>
      <c r="J63" s="28"/>
      <c r="K63" s="28"/>
      <c r="M63" s="45">
        <f t="shared" si="10"/>
        <v>44287</v>
      </c>
      <c r="N63" s="29">
        <f t="shared" si="11"/>
        <v>4.3210390627402395E-2</v>
      </c>
      <c r="O63" s="29">
        <f t="shared" si="12"/>
        <v>-1.9835020649767054E-2</v>
      </c>
      <c r="P63" s="29">
        <f t="shared" si="13"/>
        <v>3.5633887903232297E-2</v>
      </c>
      <c r="Q63" s="29">
        <f t="shared" si="14"/>
        <v>7.8597797835219474E-2</v>
      </c>
      <c r="R63" s="29">
        <f t="shared" si="15"/>
        <v>0</v>
      </c>
      <c r="S63" s="29">
        <f t="shared" si="16"/>
        <v>0</v>
      </c>
      <c r="T63" s="29">
        <f t="shared" si="17"/>
        <v>0</v>
      </c>
      <c r="U63" s="29">
        <f t="shared" si="18"/>
        <v>0</v>
      </c>
      <c r="V63" s="29">
        <f t="shared" si="19"/>
        <v>0</v>
      </c>
    </row>
    <row r="64" spans="2:22" x14ac:dyDescent="0.25">
      <c r="B64" s="45">
        <v>44317</v>
      </c>
      <c r="C64" s="27">
        <v>115.1684112548828</v>
      </c>
      <c r="D64" s="27">
        <v>37332.85546875</v>
      </c>
      <c r="E64" s="27">
        <v>178.3800048828125</v>
      </c>
      <c r="F64" s="27">
        <v>81.835952758789063</v>
      </c>
      <c r="G64" s="27">
        <v>76.851356506347656</v>
      </c>
      <c r="H64" s="28"/>
      <c r="I64" s="28"/>
      <c r="J64" s="28"/>
      <c r="K64" s="28"/>
      <c r="M64" s="45">
        <f t="shared" si="10"/>
        <v>44317</v>
      </c>
      <c r="N64" s="29">
        <f t="shared" si="11"/>
        <v>1.609888298382911E-2</v>
      </c>
      <c r="O64" s="29">
        <f t="shared" si="12"/>
        <v>-0.35354559594481749</v>
      </c>
      <c r="P64" s="29">
        <f t="shared" si="13"/>
        <v>7.6783779666259155E-2</v>
      </c>
      <c r="Q64" s="29">
        <f t="shared" si="14"/>
        <v>8.0743484767191731E-3</v>
      </c>
      <c r="R64" s="29">
        <f t="shared" si="15"/>
        <v>-1.0899172824252457E-4</v>
      </c>
      <c r="S64" s="29">
        <f t="shared" si="16"/>
        <v>0</v>
      </c>
      <c r="T64" s="29">
        <f t="shared" si="17"/>
        <v>0</v>
      </c>
      <c r="U64" s="29">
        <f t="shared" si="18"/>
        <v>0</v>
      </c>
      <c r="V64" s="29">
        <f t="shared" si="19"/>
        <v>0</v>
      </c>
    </row>
    <row r="65" spans="2:22" x14ac:dyDescent="0.25">
      <c r="B65" s="45">
        <v>44348</v>
      </c>
      <c r="C65" s="27">
        <v>116.97923278808589</v>
      </c>
      <c r="D65" s="27">
        <v>35040.8359375</v>
      </c>
      <c r="E65" s="27">
        <v>165.6300048828125</v>
      </c>
      <c r="F65" s="27">
        <v>83.994415283203125</v>
      </c>
      <c r="G65" s="27">
        <v>76.834564208984375</v>
      </c>
      <c r="H65" s="28"/>
      <c r="I65" s="28"/>
      <c r="J65" s="28"/>
      <c r="K65" s="28"/>
      <c r="M65" s="45">
        <f t="shared" si="10"/>
        <v>44348</v>
      </c>
      <c r="N65" s="29">
        <f t="shared" si="11"/>
        <v>1.5723248358401998E-2</v>
      </c>
      <c r="O65" s="29">
        <f t="shared" si="12"/>
        <v>-6.1394166143239892E-2</v>
      </c>
      <c r="P65" s="29">
        <f t="shared" si="13"/>
        <v>-7.1476620983255246E-2</v>
      </c>
      <c r="Q65" s="29">
        <f t="shared" si="14"/>
        <v>2.6375479867340346E-2</v>
      </c>
      <c r="R65" s="29">
        <f t="shared" si="15"/>
        <v>-2.1850359091446503E-4</v>
      </c>
      <c r="S65" s="29">
        <f t="shared" si="16"/>
        <v>0</v>
      </c>
      <c r="T65" s="29">
        <f t="shared" si="17"/>
        <v>0</v>
      </c>
      <c r="U65" s="29">
        <f t="shared" si="18"/>
        <v>0</v>
      </c>
      <c r="V65" s="29">
        <f t="shared" si="19"/>
        <v>0</v>
      </c>
    </row>
    <row r="66" spans="2:22" x14ac:dyDescent="0.25">
      <c r="B66" s="45">
        <v>44378</v>
      </c>
      <c r="C66" s="27">
        <v>119.0679931640625</v>
      </c>
      <c r="D66" s="27">
        <v>41626.1953125</v>
      </c>
      <c r="E66" s="27">
        <v>169.82000732421881</v>
      </c>
      <c r="F66" s="27">
        <v>87.707672119140625</v>
      </c>
      <c r="G66" s="27">
        <v>76.826156616210938</v>
      </c>
      <c r="H66" s="28"/>
      <c r="I66" s="28"/>
      <c r="J66" s="28"/>
      <c r="K66" s="28"/>
      <c r="M66" s="45">
        <f t="shared" si="10"/>
        <v>44378</v>
      </c>
      <c r="N66" s="29">
        <f t="shared" si="11"/>
        <v>1.7855822150590672E-2</v>
      </c>
      <c r="O66" s="29">
        <f t="shared" si="12"/>
        <v>0.18793385485283132</v>
      </c>
      <c r="P66" s="29">
        <f t="shared" si="13"/>
        <v>2.529736350832601E-2</v>
      </c>
      <c r="Q66" s="29">
        <f t="shared" si="14"/>
        <v>4.4208377704845647E-2</v>
      </c>
      <c r="R66" s="29">
        <f t="shared" si="15"/>
        <v>-1.0942461716278995E-4</v>
      </c>
      <c r="S66" s="29">
        <f t="shared" si="16"/>
        <v>0</v>
      </c>
      <c r="T66" s="29">
        <f t="shared" si="17"/>
        <v>0</v>
      </c>
      <c r="U66" s="29">
        <f t="shared" si="18"/>
        <v>0</v>
      </c>
      <c r="V66" s="29">
        <f t="shared" si="19"/>
        <v>0</v>
      </c>
    </row>
    <row r="67" spans="2:22" x14ac:dyDescent="0.25">
      <c r="B67" s="45">
        <v>44409</v>
      </c>
      <c r="C67" s="27">
        <v>122.0162734985352</v>
      </c>
      <c r="D67" s="27">
        <v>47166.6875</v>
      </c>
      <c r="E67" s="27">
        <v>169.69000244140619</v>
      </c>
      <c r="F67" s="27">
        <v>89.597343444824219</v>
      </c>
      <c r="G67" s="27">
        <v>76.817741394042969</v>
      </c>
      <c r="H67" s="28"/>
      <c r="I67" s="28"/>
      <c r="J67" s="28"/>
      <c r="K67" s="28"/>
      <c r="M67" s="45">
        <f t="shared" si="10"/>
        <v>44409</v>
      </c>
      <c r="N67" s="29">
        <f t="shared" si="11"/>
        <v>2.4761317093925372E-2</v>
      </c>
      <c r="O67" s="29">
        <f t="shared" si="12"/>
        <v>0.13310109525758729</v>
      </c>
      <c r="P67" s="29">
        <f t="shared" si="13"/>
        <v>-7.6554514901416848E-4</v>
      </c>
      <c r="Q67" s="29">
        <f t="shared" si="14"/>
        <v>2.1545108654995371E-2</v>
      </c>
      <c r="R67" s="29">
        <f t="shared" si="15"/>
        <v>-1.0953589947249043E-4</v>
      </c>
      <c r="S67" s="29">
        <f t="shared" si="16"/>
        <v>0</v>
      </c>
      <c r="T67" s="29">
        <f t="shared" si="17"/>
        <v>0</v>
      </c>
      <c r="U67" s="29">
        <f t="shared" si="18"/>
        <v>0</v>
      </c>
      <c r="V67" s="29">
        <f t="shared" si="19"/>
        <v>0</v>
      </c>
    </row>
    <row r="68" spans="2:22" x14ac:dyDescent="0.25">
      <c r="B68" s="45">
        <v>44440</v>
      </c>
      <c r="C68" s="27">
        <v>116.877571105957</v>
      </c>
      <c r="D68" s="27">
        <v>43790.89453125</v>
      </c>
      <c r="E68" s="27">
        <v>164.2200012207031</v>
      </c>
      <c r="F68" s="27">
        <v>84.506889343261719</v>
      </c>
      <c r="G68" s="27">
        <v>76.826156616210938</v>
      </c>
      <c r="H68" s="28"/>
      <c r="I68" s="28"/>
      <c r="J68" s="28"/>
      <c r="K68" s="28"/>
      <c r="M68" s="45">
        <f t="shared" si="10"/>
        <v>44440</v>
      </c>
      <c r="N68" s="29">
        <f t="shared" si="11"/>
        <v>-4.2114893737021819E-2</v>
      </c>
      <c r="O68" s="29">
        <f t="shared" si="12"/>
        <v>-7.1571550763449343E-2</v>
      </c>
      <c r="P68" s="29">
        <f t="shared" si="13"/>
        <v>-3.2235259249241199E-2</v>
      </c>
      <c r="Q68" s="29">
        <f t="shared" si="14"/>
        <v>-5.6814788316768561E-2</v>
      </c>
      <c r="R68" s="29">
        <f t="shared" si="15"/>
        <v>1.0954789890016414E-4</v>
      </c>
      <c r="S68" s="29">
        <f t="shared" si="16"/>
        <v>0</v>
      </c>
      <c r="T68" s="29">
        <f t="shared" si="17"/>
        <v>0</v>
      </c>
      <c r="U68" s="29">
        <f t="shared" si="18"/>
        <v>0</v>
      </c>
      <c r="V68" s="29">
        <f t="shared" si="19"/>
        <v>0</v>
      </c>
    </row>
    <row r="69" spans="2:22" x14ac:dyDescent="0.25">
      <c r="B69" s="45">
        <v>44470</v>
      </c>
      <c r="C69" s="27">
        <v>123.69837951660161</v>
      </c>
      <c r="D69" s="27">
        <v>61318.95703125</v>
      </c>
      <c r="E69" s="27">
        <v>166.6499938964844</v>
      </c>
      <c r="F69" s="27">
        <v>90.5347900390625</v>
      </c>
      <c r="G69" s="27">
        <v>76.817741394042969</v>
      </c>
      <c r="H69" s="28"/>
      <c r="I69" s="28"/>
      <c r="J69" s="28"/>
      <c r="K69" s="28"/>
      <c r="M69" s="45">
        <f t="shared" si="10"/>
        <v>44470</v>
      </c>
      <c r="N69" s="29">
        <f t="shared" si="11"/>
        <v>5.835857424228208E-2</v>
      </c>
      <c r="O69" s="29">
        <f t="shared" si="12"/>
        <v>0.40026728587358829</v>
      </c>
      <c r="P69" s="29">
        <f t="shared" si="13"/>
        <v>1.4797178527087729E-2</v>
      </c>
      <c r="Q69" s="29">
        <f t="shared" si="14"/>
        <v>7.1330287301379913E-2</v>
      </c>
      <c r="R69" s="29">
        <f t="shared" si="15"/>
        <v>-1.0953589947249043E-4</v>
      </c>
      <c r="S69" s="29">
        <f t="shared" si="16"/>
        <v>0</v>
      </c>
      <c r="T69" s="29">
        <f t="shared" si="17"/>
        <v>0</v>
      </c>
      <c r="U69" s="29">
        <f t="shared" si="18"/>
        <v>0</v>
      </c>
      <c r="V69" s="29">
        <f t="shared" si="19"/>
        <v>0</v>
      </c>
    </row>
    <row r="70" spans="2:22" x14ac:dyDescent="0.25">
      <c r="B70" s="45">
        <v>44501</v>
      </c>
      <c r="C70" s="27">
        <v>121.16599273681641</v>
      </c>
      <c r="D70" s="27">
        <v>57005.42578125</v>
      </c>
      <c r="E70" s="27">
        <v>165.5</v>
      </c>
      <c r="F70" s="27">
        <v>88.625129699707031</v>
      </c>
      <c r="G70" s="27">
        <v>76.800949096679688</v>
      </c>
      <c r="H70" s="28"/>
      <c r="I70" s="28"/>
      <c r="J70" s="28"/>
      <c r="K70" s="28"/>
      <c r="M70" s="45">
        <f t="shared" si="10"/>
        <v>44501</v>
      </c>
      <c r="N70" s="29">
        <f t="shared" si="11"/>
        <v>-2.0472271259182717E-2</v>
      </c>
      <c r="O70" s="29">
        <f t="shared" si="12"/>
        <v>-7.0345802649606326E-2</v>
      </c>
      <c r="P70" s="29">
        <f t="shared" si="13"/>
        <v>-6.9006536969855592E-3</v>
      </c>
      <c r="Q70" s="29">
        <f t="shared" si="14"/>
        <v>-2.1093110599047282E-2</v>
      </c>
      <c r="R70" s="29">
        <f t="shared" si="15"/>
        <v>-2.1859920714339953E-4</v>
      </c>
      <c r="S70" s="29">
        <f t="shared" si="16"/>
        <v>0</v>
      </c>
      <c r="T70" s="29">
        <f t="shared" si="17"/>
        <v>0</v>
      </c>
      <c r="U70" s="29">
        <f t="shared" si="18"/>
        <v>0</v>
      </c>
      <c r="V70" s="29">
        <f t="shared" si="19"/>
        <v>0</v>
      </c>
    </row>
    <row r="71" spans="2:22" x14ac:dyDescent="0.25">
      <c r="B71" s="45">
        <v>44531</v>
      </c>
      <c r="C71" s="27">
        <v>126.0314636230469</v>
      </c>
      <c r="D71" s="27">
        <v>46306.4453125</v>
      </c>
      <c r="E71" s="27">
        <v>170.96000671386719</v>
      </c>
      <c r="F71" s="27">
        <v>97.226737976074219</v>
      </c>
      <c r="G71" s="27">
        <v>76.800949096679688</v>
      </c>
      <c r="H71" s="28"/>
      <c r="I71" s="28"/>
      <c r="J71" s="28"/>
      <c r="K71" s="28"/>
      <c r="M71" s="45">
        <f t="shared" ref="M71:M102" si="20">B71</f>
        <v>44531</v>
      </c>
      <c r="N71" s="29">
        <f t="shared" si="11"/>
        <v>4.0155416353487405E-2</v>
      </c>
      <c r="O71" s="29">
        <f t="shared" si="12"/>
        <v>-0.18768354629620299</v>
      </c>
      <c r="P71" s="29">
        <f t="shared" si="13"/>
        <v>3.2990977123064535E-2</v>
      </c>
      <c r="Q71" s="29">
        <f t="shared" si="14"/>
        <v>9.7056086750027415E-2</v>
      </c>
      <c r="R71" s="29">
        <f t="shared" si="15"/>
        <v>0</v>
      </c>
      <c r="S71" s="29">
        <f t="shared" si="16"/>
        <v>0</v>
      </c>
      <c r="T71" s="29">
        <f t="shared" si="17"/>
        <v>0</v>
      </c>
      <c r="U71" s="29">
        <f t="shared" si="18"/>
        <v>0</v>
      </c>
      <c r="V71" s="29">
        <f t="shared" si="19"/>
        <v>0</v>
      </c>
    </row>
    <row r="72" spans="2:22" x14ac:dyDescent="0.25">
      <c r="B72" s="45">
        <v>44562</v>
      </c>
      <c r="C72" s="27">
        <v>119.51194000244141</v>
      </c>
      <c r="D72" s="27">
        <v>38483.125</v>
      </c>
      <c r="E72" s="27">
        <v>168.0899963378906</v>
      </c>
      <c r="F72" s="27">
        <v>89.038581848144531</v>
      </c>
      <c r="G72" s="27">
        <v>76.800949096679688</v>
      </c>
      <c r="H72" s="28"/>
      <c r="I72" s="28"/>
      <c r="J72" s="28"/>
      <c r="K72" s="28"/>
      <c r="M72" s="45">
        <f t="shared" si="20"/>
        <v>44562</v>
      </c>
      <c r="N72" s="29">
        <f t="shared" ref="N72:N103" si="21">IF(OR(NOT(ISNUMBER(C72)),NOT(ISNUMBER(C71)),C71=0),0,IFERROR(C72/C71-1,0))</f>
        <v>-5.1729333558364732E-2</v>
      </c>
      <c r="O72" s="29">
        <f t="shared" ref="O72:O103" si="22">IF(OR(NOT(ISNUMBER(D72)),NOT(ISNUMBER(D71)),D71=0),0,IFERROR(D72/D71-1,0))</f>
        <v>-0.16894668246945244</v>
      </c>
      <c r="P72" s="29">
        <f t="shared" ref="P72:P103" si="23">IF(OR(NOT(ISNUMBER(E72)),NOT(ISNUMBER(E71)),E71=0),0,IFERROR(E72/E71-1,0))</f>
        <v>-1.6787612677040209E-2</v>
      </c>
      <c r="Q72" s="29">
        <f t="shared" ref="Q72:Q103" si="24">IF(OR(NOT(ISNUMBER(F72)),NOT(ISNUMBER(F71)),F71=0),0,IFERROR(F72/F71-1,0))</f>
        <v>-8.4217122762512586E-2</v>
      </c>
      <c r="R72" s="29">
        <f t="shared" ref="R72:R103" si="25">IF(OR(NOT(ISNUMBER(G72)),NOT(ISNUMBER(G71)),G71=0),0,IFERROR(G72/G71-1,0))</f>
        <v>0</v>
      </c>
      <c r="S72" s="29">
        <f t="shared" ref="S72:S103" si="26">IF(OR(NOT(ISNUMBER(H72)),NOT(ISNUMBER(H71)),H71=0),0,IFERROR(H72/H71-1,0))</f>
        <v>0</v>
      </c>
      <c r="T72" s="29">
        <f t="shared" ref="T72:T103" si="27">IF(OR(NOT(ISNUMBER(I72)),NOT(ISNUMBER(I71)),I71=0),0,IFERROR(I72/I71-1,0))</f>
        <v>0</v>
      </c>
      <c r="U72" s="29">
        <f t="shared" ref="U72:U103" si="28">IF(OR(NOT(ISNUMBER(J72)),NOT(ISNUMBER(J71)),J71=0),0,IFERROR(J72/J71-1,0))</f>
        <v>0</v>
      </c>
      <c r="V72" s="29">
        <f t="shared" ref="V72:V103" si="29">IF(OR(NOT(ISNUMBER(K72)),NOT(ISNUMBER(K71)),K71=0),0,IFERROR(K72/K71-1,0))</f>
        <v>0</v>
      </c>
    </row>
    <row r="73" spans="2:22" x14ac:dyDescent="0.25">
      <c r="B73" s="45">
        <v>44593</v>
      </c>
      <c r="C73" s="27">
        <v>116.0286560058594</v>
      </c>
      <c r="D73" s="27">
        <v>43193.234375</v>
      </c>
      <c r="E73" s="27">
        <v>178.3800048828125</v>
      </c>
      <c r="F73" s="27">
        <v>85.937675476074219</v>
      </c>
      <c r="G73" s="27">
        <v>76.784141540527344</v>
      </c>
      <c r="H73" s="28"/>
      <c r="I73" s="28"/>
      <c r="J73" s="28"/>
      <c r="K73" s="28"/>
      <c r="M73" s="45">
        <f t="shared" si="20"/>
        <v>44593</v>
      </c>
      <c r="N73" s="29">
        <f t="shared" si="21"/>
        <v>-2.91459079026819E-2</v>
      </c>
      <c r="O73" s="29">
        <f t="shared" si="22"/>
        <v>0.1223941500332939</v>
      </c>
      <c r="P73" s="29">
        <f t="shared" si="23"/>
        <v>6.1217257237826228E-2</v>
      </c>
      <c r="Q73" s="29">
        <f t="shared" si="24"/>
        <v>-3.4826547185566326E-2</v>
      </c>
      <c r="R73" s="29">
        <f t="shared" si="25"/>
        <v>-2.1884568289887163E-4</v>
      </c>
      <c r="S73" s="29">
        <f t="shared" si="26"/>
        <v>0</v>
      </c>
      <c r="T73" s="29">
        <f t="shared" si="27"/>
        <v>0</v>
      </c>
      <c r="U73" s="29">
        <f t="shared" si="28"/>
        <v>0</v>
      </c>
      <c r="V73" s="29">
        <f t="shared" si="29"/>
        <v>0</v>
      </c>
    </row>
    <row r="74" spans="2:22" x14ac:dyDescent="0.25">
      <c r="B74" s="45">
        <v>44621</v>
      </c>
      <c r="C74" s="27">
        <v>119.36293792724609</v>
      </c>
      <c r="D74" s="27">
        <v>45538.67578125</v>
      </c>
      <c r="E74" s="27">
        <v>180.6499938964844</v>
      </c>
      <c r="F74" s="27">
        <v>91.320724487304688</v>
      </c>
      <c r="G74" s="27">
        <v>76.819442749023438</v>
      </c>
      <c r="H74" s="28"/>
      <c r="I74" s="28"/>
      <c r="J74" s="28"/>
      <c r="K74" s="28"/>
      <c r="M74" s="45">
        <f t="shared" si="20"/>
        <v>44621</v>
      </c>
      <c r="N74" s="29">
        <f t="shared" si="21"/>
        <v>2.8736710707209401E-2</v>
      </c>
      <c r="O74" s="29">
        <f t="shared" si="22"/>
        <v>5.4301129336300047E-2</v>
      </c>
      <c r="P74" s="29">
        <f t="shared" si="23"/>
        <v>1.2725579950304322E-2</v>
      </c>
      <c r="Q74" s="29">
        <f t="shared" si="24"/>
        <v>6.2638987864282569E-2</v>
      </c>
      <c r="R74" s="29">
        <f t="shared" si="25"/>
        <v>4.5974608542653783E-4</v>
      </c>
      <c r="S74" s="29">
        <f t="shared" si="26"/>
        <v>0</v>
      </c>
      <c r="T74" s="29">
        <f t="shared" si="27"/>
        <v>0</v>
      </c>
      <c r="U74" s="29">
        <f t="shared" si="28"/>
        <v>0</v>
      </c>
      <c r="V74" s="29">
        <f t="shared" si="29"/>
        <v>0</v>
      </c>
    </row>
    <row r="75" spans="2:22" x14ac:dyDescent="0.25">
      <c r="B75" s="45">
        <v>44652</v>
      </c>
      <c r="C75" s="27">
        <v>109.3601379394531</v>
      </c>
      <c r="D75" s="27">
        <v>37714.875</v>
      </c>
      <c r="E75" s="27">
        <v>176.9100036621094</v>
      </c>
      <c r="F75" s="27">
        <v>87.587677001953125</v>
      </c>
      <c r="G75" s="27">
        <v>76.811027526855469</v>
      </c>
      <c r="H75" s="28"/>
      <c r="I75" s="28"/>
      <c r="J75" s="28"/>
      <c r="K75" s="28"/>
      <c r="M75" s="45">
        <f t="shared" si="20"/>
        <v>44652</v>
      </c>
      <c r="N75" s="29">
        <f t="shared" si="21"/>
        <v>-8.380155650902199E-2</v>
      </c>
      <c r="O75" s="29">
        <f t="shared" si="22"/>
        <v>-0.17180562778839858</v>
      </c>
      <c r="P75" s="29">
        <f t="shared" si="23"/>
        <v>-2.0702963524693363E-2</v>
      </c>
      <c r="Q75" s="29">
        <f t="shared" si="24"/>
        <v>-4.0878426078086227E-2</v>
      </c>
      <c r="R75" s="29">
        <f t="shared" si="25"/>
        <v>-1.0954547269315107E-4</v>
      </c>
      <c r="S75" s="29">
        <f t="shared" si="26"/>
        <v>0</v>
      </c>
      <c r="T75" s="29">
        <f t="shared" si="27"/>
        <v>0</v>
      </c>
      <c r="U75" s="29">
        <f t="shared" si="28"/>
        <v>0</v>
      </c>
      <c r="V75" s="29">
        <f t="shared" si="29"/>
        <v>0</v>
      </c>
    </row>
    <row r="76" spans="2:22" x14ac:dyDescent="0.25">
      <c r="B76" s="45">
        <v>44682</v>
      </c>
      <c r="C76" s="27">
        <v>109.8444442749023</v>
      </c>
      <c r="D76" s="27">
        <v>31792.310546875</v>
      </c>
      <c r="E76" s="27">
        <v>171.13999938964841</v>
      </c>
      <c r="F76" s="27">
        <v>83.483848571777344</v>
      </c>
      <c r="G76" s="27">
        <v>76.836227416992188</v>
      </c>
      <c r="H76" s="28"/>
      <c r="I76" s="28"/>
      <c r="J76" s="28"/>
      <c r="K76" s="28"/>
      <c r="M76" s="45">
        <f t="shared" si="20"/>
        <v>44682</v>
      </c>
      <c r="N76" s="29">
        <f t="shared" si="21"/>
        <v>4.4285453966539379E-3</v>
      </c>
      <c r="O76" s="29">
        <f t="shared" si="22"/>
        <v>-0.15703524015723236</v>
      </c>
      <c r="P76" s="29">
        <f t="shared" si="23"/>
        <v>-3.2615477661068093E-2</v>
      </c>
      <c r="Q76" s="29">
        <f t="shared" si="24"/>
        <v>-4.6853947617360281E-2</v>
      </c>
      <c r="R76" s="29">
        <f t="shared" si="25"/>
        <v>3.2807646178034666E-4</v>
      </c>
      <c r="S76" s="29">
        <f t="shared" si="26"/>
        <v>0</v>
      </c>
      <c r="T76" s="29">
        <f t="shared" si="27"/>
        <v>0</v>
      </c>
      <c r="U76" s="29">
        <f t="shared" si="28"/>
        <v>0</v>
      </c>
      <c r="V76" s="29">
        <f t="shared" si="29"/>
        <v>0</v>
      </c>
    </row>
    <row r="77" spans="2:22" x14ac:dyDescent="0.25">
      <c r="B77" s="45">
        <v>44713</v>
      </c>
      <c r="C77" s="27">
        <v>100.4044723510742</v>
      </c>
      <c r="D77" s="27">
        <v>19784.7265625</v>
      </c>
      <c r="E77" s="27">
        <v>168.46000671386719</v>
      </c>
      <c r="F77" s="27">
        <v>77.265220642089844</v>
      </c>
      <c r="G77" s="27">
        <v>76.895919799804688</v>
      </c>
      <c r="H77" s="28"/>
      <c r="I77" s="28"/>
      <c r="J77" s="28"/>
      <c r="K77" s="28"/>
      <c r="M77" s="45">
        <f t="shared" si="20"/>
        <v>44713</v>
      </c>
      <c r="N77" s="29">
        <f t="shared" si="21"/>
        <v>-8.5939457258331076E-2</v>
      </c>
      <c r="O77" s="29">
        <f t="shared" si="22"/>
        <v>-0.37768830820493093</v>
      </c>
      <c r="P77" s="29">
        <f t="shared" si="23"/>
        <v>-1.5659651077124637E-2</v>
      </c>
      <c r="Q77" s="29">
        <f t="shared" si="24"/>
        <v>-7.4488994411186948E-2</v>
      </c>
      <c r="R77" s="29">
        <f t="shared" si="25"/>
        <v>7.7687810579951666E-4</v>
      </c>
      <c r="S77" s="29">
        <f t="shared" si="26"/>
        <v>0</v>
      </c>
      <c r="T77" s="29">
        <f t="shared" si="27"/>
        <v>0</v>
      </c>
      <c r="U77" s="29">
        <f t="shared" si="28"/>
        <v>0</v>
      </c>
      <c r="V77" s="29">
        <f t="shared" si="29"/>
        <v>0</v>
      </c>
    </row>
    <row r="78" spans="2:22" x14ac:dyDescent="0.25">
      <c r="B78" s="45">
        <v>44743</v>
      </c>
      <c r="C78" s="27">
        <v>108.5679626464844</v>
      </c>
      <c r="D78" s="27">
        <v>23336.896484375</v>
      </c>
      <c r="E78" s="27">
        <v>164.1000061035156</v>
      </c>
      <c r="F78" s="27">
        <v>83.92236328125</v>
      </c>
      <c r="G78" s="27">
        <v>76.923667907714844</v>
      </c>
      <c r="H78" s="28"/>
      <c r="I78" s="28"/>
      <c r="J78" s="28"/>
      <c r="K78" s="28"/>
      <c r="M78" s="45">
        <f t="shared" si="20"/>
        <v>44743</v>
      </c>
      <c r="N78" s="29">
        <f t="shared" si="21"/>
        <v>8.1306042492467423E-2</v>
      </c>
      <c r="O78" s="29">
        <f t="shared" si="22"/>
        <v>0.17954101668545608</v>
      </c>
      <c r="P78" s="29">
        <f t="shared" si="23"/>
        <v>-2.5881517491312622E-2</v>
      </c>
      <c r="Q78" s="29">
        <f t="shared" si="24"/>
        <v>8.6159627628549229E-2</v>
      </c>
      <c r="R78" s="29">
        <f t="shared" si="25"/>
        <v>3.6085279924336078E-4</v>
      </c>
      <c r="S78" s="29">
        <f t="shared" si="26"/>
        <v>0</v>
      </c>
      <c r="T78" s="29">
        <f t="shared" si="27"/>
        <v>0</v>
      </c>
      <c r="U78" s="29">
        <f t="shared" si="28"/>
        <v>0</v>
      </c>
      <c r="V78" s="29">
        <f t="shared" si="29"/>
        <v>0</v>
      </c>
    </row>
    <row r="79" spans="2:22" x14ac:dyDescent="0.25">
      <c r="B79" s="45">
        <v>44774</v>
      </c>
      <c r="C79" s="27">
        <v>103.5984725952148</v>
      </c>
      <c r="D79" s="27">
        <v>20049.763671875</v>
      </c>
      <c r="E79" s="27">
        <v>159.27000427246091</v>
      </c>
      <c r="F79" s="27">
        <v>78.876495361328125</v>
      </c>
      <c r="G79" s="27">
        <v>77.072685241699219</v>
      </c>
      <c r="H79" s="28"/>
      <c r="I79" s="28"/>
      <c r="J79" s="28"/>
      <c r="K79" s="28"/>
      <c r="M79" s="45">
        <f t="shared" si="20"/>
        <v>44774</v>
      </c>
      <c r="N79" s="29">
        <f t="shared" si="21"/>
        <v>-4.5773080106984221E-2</v>
      </c>
      <c r="O79" s="29">
        <f t="shared" si="22"/>
        <v>-0.14085561097213029</v>
      </c>
      <c r="P79" s="29">
        <f t="shared" si="23"/>
        <v>-2.9433282458307009E-2</v>
      </c>
      <c r="Q79" s="29">
        <f t="shared" si="24"/>
        <v>-6.0125426914058644E-2</v>
      </c>
      <c r="R79" s="29">
        <f t="shared" si="25"/>
        <v>1.9372104585957395E-3</v>
      </c>
      <c r="S79" s="29">
        <f t="shared" si="26"/>
        <v>0</v>
      </c>
      <c r="T79" s="29">
        <f t="shared" si="27"/>
        <v>0</v>
      </c>
      <c r="U79" s="29">
        <f t="shared" si="28"/>
        <v>0</v>
      </c>
      <c r="V79" s="29">
        <f t="shared" si="29"/>
        <v>0</v>
      </c>
    </row>
    <row r="80" spans="2:22" x14ac:dyDescent="0.25">
      <c r="B80" s="45">
        <v>44805</v>
      </c>
      <c r="C80" s="27">
        <v>93.894340515136719</v>
      </c>
      <c r="D80" s="27">
        <v>19431.7890625</v>
      </c>
      <c r="E80" s="27">
        <v>154.66999816894531</v>
      </c>
      <c r="F80" s="27">
        <v>68.72406005859375</v>
      </c>
      <c r="G80" s="27">
        <v>77.232040405273438</v>
      </c>
      <c r="H80" s="28"/>
      <c r="I80" s="28"/>
      <c r="J80" s="28"/>
      <c r="K80" s="28"/>
      <c r="M80" s="45">
        <f t="shared" si="20"/>
        <v>44805</v>
      </c>
      <c r="N80" s="29">
        <f t="shared" si="21"/>
        <v>-9.3670609585090658E-2</v>
      </c>
      <c r="O80" s="29">
        <f t="shared" si="22"/>
        <v>-3.0822039575552185E-2</v>
      </c>
      <c r="P80" s="29">
        <f t="shared" si="23"/>
        <v>-2.8881810636775196E-2</v>
      </c>
      <c r="Q80" s="29">
        <f t="shared" si="24"/>
        <v>-0.12871306282342698</v>
      </c>
      <c r="R80" s="29">
        <f t="shared" si="25"/>
        <v>2.0675958424762886E-3</v>
      </c>
      <c r="S80" s="29">
        <f t="shared" si="26"/>
        <v>0</v>
      </c>
      <c r="T80" s="29">
        <f t="shared" si="27"/>
        <v>0</v>
      </c>
      <c r="U80" s="29">
        <f t="shared" si="28"/>
        <v>0</v>
      </c>
      <c r="V80" s="29">
        <f t="shared" si="29"/>
        <v>0</v>
      </c>
    </row>
    <row r="81" spans="2:22" x14ac:dyDescent="0.25">
      <c r="B81" s="45">
        <v>44835</v>
      </c>
      <c r="C81" s="27">
        <v>100.911750793457</v>
      </c>
      <c r="D81" s="27">
        <v>20495.7734375</v>
      </c>
      <c r="E81" s="27">
        <v>151.9100036621094</v>
      </c>
      <c r="F81" s="27">
        <v>71.132911682128906</v>
      </c>
      <c r="G81" s="27">
        <v>77.354507446289063</v>
      </c>
      <c r="H81" s="28"/>
      <c r="I81" s="28"/>
      <c r="J81" s="28"/>
      <c r="K81" s="28"/>
      <c r="M81" s="45">
        <f t="shared" si="20"/>
        <v>44835</v>
      </c>
      <c r="N81" s="29">
        <f t="shared" si="21"/>
        <v>7.4737308338504338E-2</v>
      </c>
      <c r="O81" s="29">
        <f t="shared" si="22"/>
        <v>5.475483351418764E-2</v>
      </c>
      <c r="P81" s="29">
        <f t="shared" si="23"/>
        <v>-1.7844407703562437E-2</v>
      </c>
      <c r="Q81" s="29">
        <f t="shared" si="24"/>
        <v>3.5051066853171609E-2</v>
      </c>
      <c r="R81" s="29">
        <f t="shared" si="25"/>
        <v>1.5857025189673912E-3</v>
      </c>
      <c r="S81" s="29">
        <f t="shared" si="26"/>
        <v>0</v>
      </c>
      <c r="T81" s="29">
        <f t="shared" si="27"/>
        <v>0</v>
      </c>
      <c r="U81" s="29">
        <f t="shared" si="28"/>
        <v>0</v>
      </c>
      <c r="V81" s="29">
        <f t="shared" si="29"/>
        <v>0</v>
      </c>
    </row>
    <row r="82" spans="2:22" x14ac:dyDescent="0.25">
      <c r="B82" s="45">
        <v>44866</v>
      </c>
      <c r="C82" s="27">
        <v>108.4458389282227</v>
      </c>
      <c r="D82" s="27">
        <v>17168.56640625</v>
      </c>
      <c r="E82" s="27">
        <v>164.80999755859381</v>
      </c>
      <c r="F82" s="27">
        <v>75.504768371582031</v>
      </c>
      <c r="G82" s="27">
        <v>77.598304748535156</v>
      </c>
      <c r="H82" s="28"/>
      <c r="I82" s="28"/>
      <c r="J82" s="28"/>
      <c r="K82" s="28"/>
      <c r="M82" s="45">
        <f t="shared" si="20"/>
        <v>44866</v>
      </c>
      <c r="N82" s="29">
        <f t="shared" si="21"/>
        <v>7.4660166685505569E-2</v>
      </c>
      <c r="O82" s="29">
        <f t="shared" si="22"/>
        <v>-0.16233625149087516</v>
      </c>
      <c r="P82" s="29">
        <f t="shared" si="23"/>
        <v>8.4918659637304827E-2</v>
      </c>
      <c r="Q82" s="29">
        <f t="shared" si="24"/>
        <v>6.1460392750259052E-2</v>
      </c>
      <c r="R82" s="29">
        <f t="shared" si="25"/>
        <v>3.1516883798319295E-3</v>
      </c>
      <c r="S82" s="29">
        <f t="shared" si="26"/>
        <v>0</v>
      </c>
      <c r="T82" s="29">
        <f t="shared" si="27"/>
        <v>0</v>
      </c>
      <c r="U82" s="29">
        <f t="shared" si="28"/>
        <v>0</v>
      </c>
      <c r="V82" s="29">
        <f t="shared" si="29"/>
        <v>0</v>
      </c>
    </row>
    <row r="83" spans="2:22" x14ac:dyDescent="0.25">
      <c r="B83" s="45">
        <v>44896</v>
      </c>
      <c r="C83" s="27">
        <v>103.3857421875</v>
      </c>
      <c r="D83" s="27">
        <v>16547.49609375</v>
      </c>
      <c r="E83" s="27">
        <v>169.63999938964841</v>
      </c>
      <c r="F83" s="27">
        <v>71.703582763671875</v>
      </c>
      <c r="G83" s="27">
        <v>77.879669189453125</v>
      </c>
      <c r="H83" s="28"/>
      <c r="I83" s="28"/>
      <c r="J83" s="28"/>
      <c r="K83" s="28"/>
      <c r="M83" s="45">
        <f t="shared" si="20"/>
        <v>44896</v>
      </c>
      <c r="N83" s="29">
        <f t="shared" si="21"/>
        <v>-4.6660128140756374E-2</v>
      </c>
      <c r="O83" s="29">
        <f t="shared" si="22"/>
        <v>-3.6174849885771909E-2</v>
      </c>
      <c r="P83" s="29">
        <f t="shared" si="23"/>
        <v>2.9306485665940407E-2</v>
      </c>
      <c r="Q83" s="29">
        <f t="shared" si="24"/>
        <v>-5.0343649677903279E-2</v>
      </c>
      <c r="R83" s="29">
        <f t="shared" si="25"/>
        <v>3.6259096359096965E-3</v>
      </c>
      <c r="S83" s="29">
        <f t="shared" si="26"/>
        <v>0</v>
      </c>
      <c r="T83" s="29">
        <f t="shared" si="27"/>
        <v>0</v>
      </c>
      <c r="U83" s="29">
        <f t="shared" si="28"/>
        <v>0</v>
      </c>
      <c r="V83" s="29">
        <f t="shared" si="29"/>
        <v>0</v>
      </c>
    </row>
    <row r="84" spans="2:22" x14ac:dyDescent="0.25">
      <c r="B84" s="45">
        <v>44927</v>
      </c>
      <c r="C84" s="27">
        <v>110.7292022705078</v>
      </c>
      <c r="D84" s="27">
        <v>23139.283203125</v>
      </c>
      <c r="E84" s="27">
        <v>179.4100036621094</v>
      </c>
      <c r="F84" s="27">
        <v>79.162567138671875</v>
      </c>
      <c r="G84" s="27">
        <v>78.101028442382813</v>
      </c>
      <c r="H84" s="28"/>
      <c r="I84" s="28"/>
      <c r="J84" s="28"/>
      <c r="K84" s="28"/>
      <c r="M84" s="45">
        <f t="shared" si="20"/>
        <v>44927</v>
      </c>
      <c r="N84" s="29">
        <f t="shared" si="21"/>
        <v>7.1029717711845963E-2</v>
      </c>
      <c r="O84" s="29">
        <f t="shared" si="22"/>
        <v>0.39835556219679202</v>
      </c>
      <c r="P84" s="29">
        <f t="shared" si="23"/>
        <v>5.7592574319810907E-2</v>
      </c>
      <c r="Q84" s="29">
        <f t="shared" si="24"/>
        <v>0.10402526746235385</v>
      </c>
      <c r="R84" s="29">
        <f t="shared" si="25"/>
        <v>2.8423240010329032E-3</v>
      </c>
      <c r="S84" s="29">
        <f t="shared" si="26"/>
        <v>0</v>
      </c>
      <c r="T84" s="29">
        <f t="shared" si="27"/>
        <v>0</v>
      </c>
      <c r="U84" s="29">
        <f t="shared" si="28"/>
        <v>0</v>
      </c>
      <c r="V84" s="29">
        <f t="shared" si="29"/>
        <v>0</v>
      </c>
    </row>
    <row r="85" spans="2:22" x14ac:dyDescent="0.25">
      <c r="B85" s="45">
        <v>44958</v>
      </c>
      <c r="C85" s="27">
        <v>107.8618545532227</v>
      </c>
      <c r="D85" s="27">
        <v>23147.353515625</v>
      </c>
      <c r="E85" s="27">
        <v>169.7799987792969</v>
      </c>
      <c r="F85" s="27">
        <v>74.520263671875</v>
      </c>
      <c r="G85" s="27">
        <v>78.371047973632813</v>
      </c>
      <c r="H85" s="28"/>
      <c r="I85" s="28"/>
      <c r="J85" s="28"/>
      <c r="K85" s="28"/>
      <c r="M85" s="45">
        <f t="shared" si="20"/>
        <v>44958</v>
      </c>
      <c r="N85" s="29">
        <f t="shared" si="21"/>
        <v>-2.5895135686792581E-2</v>
      </c>
      <c r="O85" s="29">
        <f t="shared" si="22"/>
        <v>3.4877106732977836E-4</v>
      </c>
      <c r="P85" s="29">
        <f t="shared" si="23"/>
        <v>-5.3675963916421821E-2</v>
      </c>
      <c r="Q85" s="29">
        <f t="shared" si="24"/>
        <v>-5.8642659461318192E-2</v>
      </c>
      <c r="R85" s="29">
        <f t="shared" si="25"/>
        <v>3.4573108272089037E-3</v>
      </c>
      <c r="S85" s="29">
        <f t="shared" si="26"/>
        <v>0</v>
      </c>
      <c r="T85" s="29">
        <f t="shared" si="27"/>
        <v>0</v>
      </c>
      <c r="U85" s="29">
        <f t="shared" si="28"/>
        <v>0</v>
      </c>
      <c r="V85" s="29">
        <f t="shared" si="29"/>
        <v>0</v>
      </c>
    </row>
    <row r="86" spans="2:22" x14ac:dyDescent="0.25">
      <c r="B86" s="45">
        <v>44986</v>
      </c>
      <c r="C86" s="27">
        <v>111.35378265380859</v>
      </c>
      <c r="D86" s="27">
        <v>28478.484375</v>
      </c>
      <c r="E86" s="27">
        <v>183.2200012207031</v>
      </c>
      <c r="F86" s="27">
        <v>72.914024353027344</v>
      </c>
      <c r="G86" s="27">
        <v>78.683822631835938</v>
      </c>
      <c r="H86" s="28"/>
      <c r="I86" s="28"/>
      <c r="J86" s="28"/>
      <c r="K86" s="28"/>
      <c r="M86" s="45">
        <f t="shared" si="20"/>
        <v>44986</v>
      </c>
      <c r="N86" s="29">
        <f t="shared" si="21"/>
        <v>3.2374078074680845E-2</v>
      </c>
      <c r="O86" s="29">
        <f t="shared" si="22"/>
        <v>0.23031275933019146</v>
      </c>
      <c r="P86" s="29">
        <f t="shared" si="23"/>
        <v>7.9161282471660988E-2</v>
      </c>
      <c r="Q86" s="29">
        <f t="shared" si="24"/>
        <v>-2.1554396612446181E-2</v>
      </c>
      <c r="R86" s="29">
        <f t="shared" si="25"/>
        <v>3.9909464820269136E-3</v>
      </c>
      <c r="S86" s="29">
        <f t="shared" si="26"/>
        <v>0</v>
      </c>
      <c r="T86" s="29">
        <f t="shared" si="27"/>
        <v>0</v>
      </c>
      <c r="U86" s="29">
        <f t="shared" si="28"/>
        <v>0</v>
      </c>
      <c r="V86" s="29">
        <f t="shared" si="29"/>
        <v>0</v>
      </c>
    </row>
    <row r="87" spans="2:22" x14ac:dyDescent="0.25">
      <c r="B87" s="45">
        <v>45017</v>
      </c>
      <c r="C87" s="27">
        <v>113.359977722168</v>
      </c>
      <c r="D87" s="27">
        <v>29268.806640625</v>
      </c>
      <c r="E87" s="27">
        <v>184.80000305175781</v>
      </c>
      <c r="F87" s="27">
        <v>73.142311096191406</v>
      </c>
      <c r="G87" s="27">
        <v>78.969497680664063</v>
      </c>
      <c r="H87" s="28"/>
      <c r="I87" s="28"/>
      <c r="J87" s="28"/>
      <c r="K87" s="28"/>
      <c r="M87" s="45">
        <f t="shared" si="20"/>
        <v>45017</v>
      </c>
      <c r="N87" s="29">
        <f t="shared" si="21"/>
        <v>1.8016406991727685E-2</v>
      </c>
      <c r="O87" s="29">
        <f t="shared" si="22"/>
        <v>2.7751556410733347E-2</v>
      </c>
      <c r="P87" s="29">
        <f t="shared" si="23"/>
        <v>8.6235226532471732E-3</v>
      </c>
      <c r="Q87" s="29">
        <f t="shared" si="24"/>
        <v>3.1309030764612444E-3</v>
      </c>
      <c r="R87" s="29">
        <f t="shared" si="25"/>
        <v>3.6306706928157517E-3</v>
      </c>
      <c r="S87" s="29">
        <f t="shared" si="26"/>
        <v>0</v>
      </c>
      <c r="T87" s="29">
        <f t="shared" si="27"/>
        <v>0</v>
      </c>
      <c r="U87" s="29">
        <f t="shared" si="28"/>
        <v>0</v>
      </c>
      <c r="V87" s="29">
        <f t="shared" si="29"/>
        <v>0</v>
      </c>
    </row>
    <row r="88" spans="2:22" x14ac:dyDescent="0.25">
      <c r="B88" s="45">
        <v>45047</v>
      </c>
      <c r="C88" s="27">
        <v>112.2338562011719</v>
      </c>
      <c r="D88" s="27">
        <v>27219.658203125</v>
      </c>
      <c r="E88" s="27">
        <v>182.32000732421881</v>
      </c>
      <c r="F88" s="27">
        <v>70.244720458984375</v>
      </c>
      <c r="G88" s="27">
        <v>79.265769958496094</v>
      </c>
      <c r="H88" s="28"/>
      <c r="I88" s="28"/>
      <c r="J88" s="28"/>
      <c r="K88" s="28"/>
      <c r="M88" s="45">
        <f t="shared" si="20"/>
        <v>45047</v>
      </c>
      <c r="N88" s="29">
        <f t="shared" si="21"/>
        <v>-9.9340308954195544E-3</v>
      </c>
      <c r="O88" s="29">
        <f t="shared" si="22"/>
        <v>-7.0011342199917004E-2</v>
      </c>
      <c r="P88" s="29">
        <f t="shared" si="23"/>
        <v>-1.3419890078921859E-2</v>
      </c>
      <c r="Q88" s="29">
        <f t="shared" si="24"/>
        <v>-3.9615792744042921E-2</v>
      </c>
      <c r="R88" s="29">
        <f t="shared" si="25"/>
        <v>3.7517305609577889E-3</v>
      </c>
      <c r="S88" s="29">
        <f t="shared" si="26"/>
        <v>0</v>
      </c>
      <c r="T88" s="29">
        <f t="shared" si="27"/>
        <v>0</v>
      </c>
      <c r="U88" s="29">
        <f t="shared" si="28"/>
        <v>0</v>
      </c>
      <c r="V88" s="29">
        <f t="shared" si="29"/>
        <v>0</v>
      </c>
    </row>
    <row r="89" spans="2:22" x14ac:dyDescent="0.25">
      <c r="B89" s="45">
        <v>45078</v>
      </c>
      <c r="C89" s="27">
        <v>118.97727966308589</v>
      </c>
      <c r="D89" s="27">
        <v>30477.251953125</v>
      </c>
      <c r="E89" s="27">
        <v>178.27000427246091</v>
      </c>
      <c r="F89" s="27">
        <v>74.199104309082031</v>
      </c>
      <c r="G89" s="27">
        <v>79.630874633789063</v>
      </c>
      <c r="H89" s="28"/>
      <c r="I89" s="28"/>
      <c r="J89" s="28"/>
      <c r="K89" s="28"/>
      <c r="M89" s="45">
        <f t="shared" si="20"/>
        <v>45078</v>
      </c>
      <c r="N89" s="29">
        <f t="shared" si="21"/>
        <v>6.0083683214330996E-2</v>
      </c>
      <c r="O89" s="29">
        <f t="shared" si="22"/>
        <v>0.11967798146804087</v>
      </c>
      <c r="P89" s="29">
        <f t="shared" si="23"/>
        <v>-2.2213706061100513E-2</v>
      </c>
      <c r="Q89" s="29">
        <f t="shared" si="24"/>
        <v>5.6294392293960493E-2</v>
      </c>
      <c r="R89" s="29">
        <f t="shared" si="25"/>
        <v>4.6060824929112787E-3</v>
      </c>
      <c r="S89" s="29">
        <f t="shared" si="26"/>
        <v>0</v>
      </c>
      <c r="T89" s="29">
        <f t="shared" si="27"/>
        <v>0</v>
      </c>
      <c r="U89" s="29">
        <f t="shared" si="28"/>
        <v>0</v>
      </c>
      <c r="V89" s="29">
        <f t="shared" si="29"/>
        <v>0</v>
      </c>
    </row>
    <row r="90" spans="2:22" x14ac:dyDescent="0.25">
      <c r="B90" s="45">
        <v>45108</v>
      </c>
      <c r="C90" s="27">
        <v>122.81834411621089</v>
      </c>
      <c r="D90" s="27">
        <v>29230.111328125</v>
      </c>
      <c r="E90" s="27">
        <v>182.3500061035156</v>
      </c>
      <c r="F90" s="27">
        <v>75.70867919921875</v>
      </c>
      <c r="G90" s="27">
        <v>79.938278198242188</v>
      </c>
      <c r="H90" s="28"/>
      <c r="I90" s="28"/>
      <c r="J90" s="28"/>
      <c r="K90" s="28"/>
      <c r="M90" s="45">
        <f t="shared" si="20"/>
        <v>45108</v>
      </c>
      <c r="N90" s="29">
        <f t="shared" si="21"/>
        <v>3.2284016444164232E-2</v>
      </c>
      <c r="O90" s="29">
        <f t="shared" si="22"/>
        <v>-4.0920376512887158E-2</v>
      </c>
      <c r="P90" s="29">
        <f t="shared" si="23"/>
        <v>2.2886642358626919E-2</v>
      </c>
      <c r="Q90" s="29">
        <f t="shared" si="24"/>
        <v>2.0344920658994292E-2</v>
      </c>
      <c r="R90" s="29">
        <f t="shared" si="25"/>
        <v>3.8603564994963424E-3</v>
      </c>
      <c r="S90" s="29">
        <f t="shared" si="26"/>
        <v>0</v>
      </c>
      <c r="T90" s="29">
        <f t="shared" si="27"/>
        <v>0</v>
      </c>
      <c r="U90" s="29">
        <f t="shared" si="28"/>
        <v>0</v>
      </c>
      <c r="V90" s="29">
        <f t="shared" si="29"/>
        <v>0</v>
      </c>
    </row>
    <row r="91" spans="2:22" x14ac:dyDescent="0.25">
      <c r="B91" s="45">
        <v>45139</v>
      </c>
      <c r="C91" s="27">
        <v>120.10475921630859</v>
      </c>
      <c r="D91" s="27">
        <v>25931.47265625</v>
      </c>
      <c r="E91" s="27">
        <v>180.02000427246091</v>
      </c>
      <c r="F91" s="27">
        <v>73.151290893554688</v>
      </c>
      <c r="G91" s="27">
        <v>80.335304260253906</v>
      </c>
      <c r="H91" s="28"/>
      <c r="I91" s="28"/>
      <c r="J91" s="28"/>
      <c r="K91" s="28"/>
      <c r="M91" s="45">
        <f t="shared" si="20"/>
        <v>45139</v>
      </c>
      <c r="N91" s="29">
        <f t="shared" si="21"/>
        <v>-2.2094296413365577E-2</v>
      </c>
      <c r="O91" s="29">
        <f t="shared" si="22"/>
        <v>-0.11285070504336647</v>
      </c>
      <c r="P91" s="29">
        <f t="shared" si="23"/>
        <v>-1.2777635059315506E-2</v>
      </c>
      <c r="Q91" s="29">
        <f t="shared" si="24"/>
        <v>-3.3779327980806406E-2</v>
      </c>
      <c r="R91" s="29">
        <f t="shared" si="25"/>
        <v>4.9666576633926596E-3</v>
      </c>
      <c r="S91" s="29">
        <f t="shared" si="26"/>
        <v>0</v>
      </c>
      <c r="T91" s="29">
        <f t="shared" si="27"/>
        <v>0</v>
      </c>
      <c r="U91" s="29">
        <f t="shared" si="28"/>
        <v>0</v>
      </c>
      <c r="V91" s="29">
        <f t="shared" si="29"/>
        <v>0</v>
      </c>
    </row>
    <row r="92" spans="2:22" x14ac:dyDescent="0.25">
      <c r="B92" s="45">
        <v>45170</v>
      </c>
      <c r="C92" s="27">
        <v>114.820915222168</v>
      </c>
      <c r="D92" s="27">
        <v>26967.916015625</v>
      </c>
      <c r="E92" s="27">
        <v>171.44999694824219</v>
      </c>
      <c r="F92" s="27">
        <v>67.8377685546875</v>
      </c>
      <c r="G92" s="27">
        <v>80.65594482421875</v>
      </c>
      <c r="H92" s="28"/>
      <c r="I92" s="28"/>
      <c r="J92" s="28"/>
      <c r="K92" s="28"/>
      <c r="M92" s="45">
        <f t="shared" si="20"/>
        <v>45170</v>
      </c>
      <c r="N92" s="29">
        <f t="shared" si="21"/>
        <v>-4.3993627135327729E-2</v>
      </c>
      <c r="O92" s="29">
        <f t="shared" si="22"/>
        <v>3.9968549920561314E-2</v>
      </c>
      <c r="P92" s="29">
        <f t="shared" si="23"/>
        <v>-4.7605861131121752E-2</v>
      </c>
      <c r="Q92" s="29">
        <f t="shared" si="24"/>
        <v>-7.263743775347864E-2</v>
      </c>
      <c r="R92" s="29">
        <f t="shared" si="25"/>
        <v>3.9912783914541894E-3</v>
      </c>
      <c r="S92" s="29">
        <f t="shared" si="26"/>
        <v>0</v>
      </c>
      <c r="T92" s="29">
        <f t="shared" si="27"/>
        <v>0</v>
      </c>
      <c r="U92" s="29">
        <f t="shared" si="28"/>
        <v>0</v>
      </c>
      <c r="V92" s="29">
        <f t="shared" si="29"/>
        <v>0</v>
      </c>
    </row>
    <row r="93" spans="2:22" x14ac:dyDescent="0.25">
      <c r="B93" s="45">
        <v>45200</v>
      </c>
      <c r="C93" s="27">
        <v>111.8971328735352</v>
      </c>
      <c r="D93" s="27">
        <v>34667.78125</v>
      </c>
      <c r="E93" s="27">
        <v>184.0899963378906</v>
      </c>
      <c r="F93" s="27">
        <v>65.38104248046875</v>
      </c>
      <c r="G93" s="27">
        <v>81.0035400390625</v>
      </c>
      <c r="H93" s="28"/>
      <c r="I93" s="28"/>
      <c r="J93" s="28"/>
      <c r="K93" s="28"/>
      <c r="M93" s="45">
        <f t="shared" si="20"/>
        <v>45200</v>
      </c>
      <c r="N93" s="29">
        <f t="shared" si="21"/>
        <v>-2.5463848141042522E-2</v>
      </c>
      <c r="O93" s="29">
        <f t="shared" si="22"/>
        <v>0.28551947543569023</v>
      </c>
      <c r="P93" s="29">
        <f t="shared" si="23"/>
        <v>7.3724115570933613E-2</v>
      </c>
      <c r="Q93" s="29">
        <f t="shared" si="24"/>
        <v>-3.6214724136131582E-2</v>
      </c>
      <c r="R93" s="29">
        <f t="shared" si="25"/>
        <v>4.309604401774747E-3</v>
      </c>
      <c r="S93" s="29">
        <f t="shared" si="26"/>
        <v>0</v>
      </c>
      <c r="T93" s="29">
        <f t="shared" si="27"/>
        <v>0</v>
      </c>
      <c r="U93" s="29">
        <f t="shared" si="28"/>
        <v>0</v>
      </c>
      <c r="V93" s="29">
        <f t="shared" si="29"/>
        <v>0</v>
      </c>
    </row>
    <row r="94" spans="2:22" x14ac:dyDescent="0.25">
      <c r="B94" s="45">
        <v>45231</v>
      </c>
      <c r="C94" s="27">
        <v>122.092170715332</v>
      </c>
      <c r="D94" s="27">
        <v>37712.74609375</v>
      </c>
      <c r="E94" s="27">
        <v>188.75</v>
      </c>
      <c r="F94" s="27">
        <v>73.280220031738281</v>
      </c>
      <c r="G94" s="27">
        <v>81.382789611816406</v>
      </c>
      <c r="H94" s="28"/>
      <c r="I94" s="28"/>
      <c r="J94" s="28"/>
      <c r="K94" s="28"/>
      <c r="M94" s="45">
        <f t="shared" si="20"/>
        <v>45231</v>
      </c>
      <c r="N94" s="29">
        <f t="shared" si="21"/>
        <v>9.1110804897200692E-2</v>
      </c>
      <c r="O94" s="29">
        <f t="shared" si="22"/>
        <v>8.783270039094293E-2</v>
      </c>
      <c r="P94" s="29">
        <f t="shared" si="23"/>
        <v>2.5313725649470653E-2</v>
      </c>
      <c r="Q94" s="29">
        <f t="shared" si="24"/>
        <v>0.12081755278878048</v>
      </c>
      <c r="R94" s="29">
        <f t="shared" si="25"/>
        <v>4.6818888726469776E-3</v>
      </c>
      <c r="S94" s="29">
        <f t="shared" si="26"/>
        <v>0</v>
      </c>
      <c r="T94" s="29">
        <f t="shared" si="27"/>
        <v>0</v>
      </c>
      <c r="U94" s="29">
        <f t="shared" si="28"/>
        <v>0</v>
      </c>
      <c r="V94" s="29">
        <f t="shared" si="29"/>
        <v>0</v>
      </c>
    </row>
    <row r="95" spans="2:22" x14ac:dyDescent="0.25">
      <c r="B95" s="45">
        <v>45261</v>
      </c>
      <c r="C95" s="27">
        <v>128.14439392089841</v>
      </c>
      <c r="D95" s="27">
        <v>42265.1875</v>
      </c>
      <c r="E95" s="27">
        <v>191.16999816894531</v>
      </c>
      <c r="F95" s="27">
        <v>80.201766967773438</v>
      </c>
      <c r="G95" s="27">
        <v>81.730720520019531</v>
      </c>
      <c r="H95" s="28"/>
      <c r="I95" s="28"/>
      <c r="J95" s="28"/>
      <c r="K95" s="28"/>
      <c r="M95" s="45">
        <f t="shared" si="20"/>
        <v>45261</v>
      </c>
      <c r="N95" s="29">
        <f t="shared" si="21"/>
        <v>4.9570936204236027E-2</v>
      </c>
      <c r="O95" s="29">
        <f t="shared" si="22"/>
        <v>0.12071360157473277</v>
      </c>
      <c r="P95" s="29">
        <f t="shared" si="23"/>
        <v>1.2821182352028115E-2</v>
      </c>
      <c r="Q95" s="29">
        <f t="shared" si="24"/>
        <v>9.4453140738897545E-2</v>
      </c>
      <c r="R95" s="29">
        <f t="shared" si="25"/>
        <v>4.2752393947504963E-3</v>
      </c>
      <c r="S95" s="29">
        <f t="shared" si="26"/>
        <v>0</v>
      </c>
      <c r="T95" s="29">
        <f t="shared" si="27"/>
        <v>0</v>
      </c>
      <c r="U95" s="29">
        <f t="shared" si="28"/>
        <v>0</v>
      </c>
      <c r="V95" s="29">
        <f t="shared" si="29"/>
        <v>0</v>
      </c>
    </row>
    <row r="96" spans="2:22" x14ac:dyDescent="0.25">
      <c r="B96" s="45">
        <v>45292</v>
      </c>
      <c r="C96" s="27">
        <v>129.28114318847659</v>
      </c>
      <c r="D96" s="27">
        <v>42582.60546875</v>
      </c>
      <c r="E96" s="27">
        <v>188.44999694824219</v>
      </c>
      <c r="F96" s="27">
        <v>76.144500732421875</v>
      </c>
      <c r="G96" s="27">
        <v>82.079483032226563</v>
      </c>
      <c r="H96" s="28"/>
      <c r="I96" s="28"/>
      <c r="J96" s="28"/>
      <c r="K96" s="28"/>
      <c r="M96" s="45">
        <f t="shared" si="20"/>
        <v>45292</v>
      </c>
      <c r="N96" s="29">
        <f t="shared" si="21"/>
        <v>8.8708466503799599E-3</v>
      </c>
      <c r="O96" s="29">
        <f t="shared" si="22"/>
        <v>7.5101516762465792E-3</v>
      </c>
      <c r="P96" s="29">
        <f t="shared" si="23"/>
        <v>-1.4228180398366375E-2</v>
      </c>
      <c r="Q96" s="29">
        <f t="shared" si="24"/>
        <v>-5.0588239994535877E-2</v>
      </c>
      <c r="R96" s="29">
        <f t="shared" si="25"/>
        <v>4.2672144572810655E-3</v>
      </c>
      <c r="S96" s="29">
        <f t="shared" si="26"/>
        <v>0</v>
      </c>
      <c r="T96" s="29">
        <f t="shared" si="27"/>
        <v>0</v>
      </c>
      <c r="U96" s="29">
        <f t="shared" si="28"/>
        <v>0</v>
      </c>
      <c r="V96" s="29">
        <f t="shared" si="29"/>
        <v>0</v>
      </c>
    </row>
    <row r="97" spans="2:22" x14ac:dyDescent="0.25">
      <c r="B97" s="45">
        <v>45323</v>
      </c>
      <c r="C97" s="27">
        <v>135.13829040527341</v>
      </c>
      <c r="D97" s="27">
        <v>61198.3828125</v>
      </c>
      <c r="E97" s="27">
        <v>189.30999755859381</v>
      </c>
      <c r="F97" s="27">
        <v>77.651214599609375</v>
      </c>
      <c r="G97" s="27">
        <v>82.444183349609375</v>
      </c>
      <c r="H97" s="28"/>
      <c r="I97" s="28"/>
      <c r="J97" s="28"/>
      <c r="K97" s="28"/>
      <c r="M97" s="45">
        <f t="shared" si="20"/>
        <v>45323</v>
      </c>
      <c r="N97" s="29">
        <f t="shared" si="21"/>
        <v>4.5305502970822253E-2</v>
      </c>
      <c r="O97" s="29">
        <f t="shared" si="22"/>
        <v>0.43716858418659976</v>
      </c>
      <c r="P97" s="29">
        <f t="shared" si="23"/>
        <v>4.5635480195196365E-3</v>
      </c>
      <c r="Q97" s="29">
        <f t="shared" si="24"/>
        <v>1.9787559872277871E-2</v>
      </c>
      <c r="R97" s="29">
        <f t="shared" si="25"/>
        <v>4.4432579727582411E-3</v>
      </c>
      <c r="S97" s="29">
        <f t="shared" si="26"/>
        <v>0</v>
      </c>
      <c r="T97" s="29">
        <f t="shared" si="27"/>
        <v>0</v>
      </c>
      <c r="U97" s="29">
        <f t="shared" si="28"/>
        <v>0</v>
      </c>
      <c r="V97" s="29">
        <f t="shared" si="29"/>
        <v>0</v>
      </c>
    </row>
    <row r="98" spans="2:22" x14ac:dyDescent="0.25">
      <c r="B98" s="45">
        <v>45352</v>
      </c>
      <c r="C98" s="27">
        <v>139.59858703613281</v>
      </c>
      <c r="D98" s="27">
        <v>71333.6484375</v>
      </c>
      <c r="E98" s="27">
        <v>205.7200012207031</v>
      </c>
      <c r="F98" s="27">
        <v>79.166229248046875</v>
      </c>
      <c r="G98" s="27">
        <v>82.782363891601563</v>
      </c>
      <c r="H98" s="28"/>
      <c r="I98" s="28"/>
      <c r="J98" s="28"/>
      <c r="K98" s="28"/>
      <c r="M98" s="45">
        <f t="shared" si="20"/>
        <v>45352</v>
      </c>
      <c r="N98" s="29">
        <f t="shared" si="21"/>
        <v>3.3005424424736862E-2</v>
      </c>
      <c r="O98" s="29">
        <f t="shared" si="22"/>
        <v>0.16561329171152273</v>
      </c>
      <c r="P98" s="29">
        <f t="shared" si="23"/>
        <v>8.6683238464625667E-2</v>
      </c>
      <c r="Q98" s="29">
        <f t="shared" si="24"/>
        <v>1.9510508061584497E-2</v>
      </c>
      <c r="R98" s="29">
        <f t="shared" si="25"/>
        <v>4.1019333111482759E-3</v>
      </c>
      <c r="S98" s="29">
        <f t="shared" si="26"/>
        <v>0</v>
      </c>
      <c r="T98" s="29">
        <f t="shared" si="27"/>
        <v>0</v>
      </c>
      <c r="U98" s="29">
        <f t="shared" si="28"/>
        <v>0</v>
      </c>
      <c r="V98" s="29">
        <f t="shared" si="29"/>
        <v>0</v>
      </c>
    </row>
    <row r="99" spans="2:22" x14ac:dyDescent="0.25">
      <c r="B99" s="45">
        <v>45383</v>
      </c>
      <c r="C99" s="27">
        <v>134.06898498535159</v>
      </c>
      <c r="D99" s="27">
        <v>60636.85546875</v>
      </c>
      <c r="E99" s="27">
        <v>211.8699951171875</v>
      </c>
      <c r="F99" s="27">
        <v>72.877227783203125</v>
      </c>
      <c r="G99" s="27">
        <v>83.14013671875</v>
      </c>
      <c r="H99" s="28"/>
      <c r="I99" s="28"/>
      <c r="J99" s="28"/>
      <c r="K99" s="28"/>
      <c r="M99" s="45">
        <f t="shared" si="20"/>
        <v>45383</v>
      </c>
      <c r="N99" s="29">
        <f t="shared" si="21"/>
        <v>-3.9610730797368099E-2</v>
      </c>
      <c r="O99" s="29">
        <f t="shared" si="22"/>
        <v>-0.14995437921729393</v>
      </c>
      <c r="P99" s="29">
        <f t="shared" si="23"/>
        <v>2.989497307015121E-2</v>
      </c>
      <c r="Q99" s="29">
        <f t="shared" si="24"/>
        <v>-7.9440457434682088E-2</v>
      </c>
      <c r="R99" s="29">
        <f t="shared" si="25"/>
        <v>4.3218484026008586E-3</v>
      </c>
      <c r="S99" s="29">
        <f t="shared" si="26"/>
        <v>0</v>
      </c>
      <c r="T99" s="29">
        <f t="shared" si="27"/>
        <v>0</v>
      </c>
      <c r="U99" s="29">
        <f t="shared" si="28"/>
        <v>0</v>
      </c>
      <c r="V99" s="29">
        <f t="shared" si="29"/>
        <v>0</v>
      </c>
    </row>
    <row r="100" spans="2:22" x14ac:dyDescent="0.25">
      <c r="B100" s="45">
        <v>45413</v>
      </c>
      <c r="C100" s="27">
        <v>140.36927795410159</v>
      </c>
      <c r="D100" s="27">
        <v>67491.4140625</v>
      </c>
      <c r="E100" s="27">
        <v>215.30000305175781</v>
      </c>
      <c r="F100" s="27">
        <v>76.200241088867188</v>
      </c>
      <c r="G100" s="27">
        <v>83.520355224609375</v>
      </c>
      <c r="H100" s="28"/>
      <c r="I100" s="28"/>
      <c r="J100" s="28"/>
      <c r="K100" s="28"/>
      <c r="M100" s="45">
        <f t="shared" si="20"/>
        <v>45413</v>
      </c>
      <c r="N100" s="29">
        <f t="shared" si="21"/>
        <v>4.6992919126212396E-2</v>
      </c>
      <c r="O100" s="29">
        <f t="shared" si="22"/>
        <v>0.11304277803921714</v>
      </c>
      <c r="P100" s="29">
        <f t="shared" si="23"/>
        <v>1.6189210429127243E-2</v>
      </c>
      <c r="Q100" s="29">
        <f t="shared" si="24"/>
        <v>4.559741645976767E-2</v>
      </c>
      <c r="R100" s="29">
        <f t="shared" si="25"/>
        <v>4.573224448085611E-3</v>
      </c>
      <c r="S100" s="29">
        <f t="shared" si="26"/>
        <v>0</v>
      </c>
      <c r="T100" s="29">
        <f t="shared" si="27"/>
        <v>0</v>
      </c>
      <c r="U100" s="29">
        <f t="shared" si="28"/>
        <v>0</v>
      </c>
      <c r="V100" s="29">
        <f t="shared" si="29"/>
        <v>0</v>
      </c>
    </row>
    <row r="101" spans="2:22" x14ac:dyDescent="0.25">
      <c r="B101" s="45">
        <v>45444</v>
      </c>
      <c r="C101" s="27">
        <v>143.2397766113281</v>
      </c>
      <c r="D101" s="27">
        <v>62678.29296875</v>
      </c>
      <c r="E101" s="27">
        <v>215.00999450683591</v>
      </c>
      <c r="F101" s="27">
        <v>77.629440307617188</v>
      </c>
      <c r="G101" s="27">
        <v>83.853851318359375</v>
      </c>
      <c r="H101" s="28"/>
      <c r="I101" s="28"/>
      <c r="J101" s="28"/>
      <c r="K101" s="28"/>
      <c r="M101" s="45">
        <f t="shared" si="20"/>
        <v>45444</v>
      </c>
      <c r="N101" s="29">
        <f t="shared" si="21"/>
        <v>2.0449621876413193E-2</v>
      </c>
      <c r="O101" s="29">
        <f t="shared" si="22"/>
        <v>-7.1314568832308689E-2</v>
      </c>
      <c r="P101" s="29">
        <f t="shared" si="23"/>
        <v>-1.3469974027459086E-3</v>
      </c>
      <c r="Q101" s="29">
        <f t="shared" si="24"/>
        <v>1.8755835917674046E-2</v>
      </c>
      <c r="R101" s="29">
        <f t="shared" si="25"/>
        <v>3.9929918024550481E-3</v>
      </c>
      <c r="S101" s="29">
        <f t="shared" si="26"/>
        <v>0</v>
      </c>
      <c r="T101" s="29">
        <f t="shared" si="27"/>
        <v>0</v>
      </c>
      <c r="U101" s="29">
        <f t="shared" si="28"/>
        <v>0</v>
      </c>
      <c r="V101" s="29">
        <f t="shared" si="29"/>
        <v>0</v>
      </c>
    </row>
    <row r="102" spans="2:22" x14ac:dyDescent="0.25">
      <c r="B102" s="45">
        <v>45474</v>
      </c>
      <c r="C102" s="27">
        <v>145.64833068847659</v>
      </c>
      <c r="D102" s="27">
        <v>64619.25</v>
      </c>
      <c r="E102" s="27">
        <v>226.55000305175781</v>
      </c>
      <c r="F102" s="27">
        <v>83.792716979980469</v>
      </c>
      <c r="G102" s="27">
        <v>84.231864929199219</v>
      </c>
      <c r="H102" s="28"/>
      <c r="I102" s="28"/>
      <c r="J102" s="28"/>
      <c r="K102" s="28"/>
      <c r="M102" s="45">
        <f t="shared" si="20"/>
        <v>45474</v>
      </c>
      <c r="N102" s="29">
        <f t="shared" si="21"/>
        <v>1.6814841059714425E-2</v>
      </c>
      <c r="O102" s="29">
        <f t="shared" si="22"/>
        <v>3.0966973402063003E-2</v>
      </c>
      <c r="P102" s="29">
        <f t="shared" si="23"/>
        <v>5.3671963349382734E-2</v>
      </c>
      <c r="Q102" s="29">
        <f t="shared" si="24"/>
        <v>7.9393547704845746E-2</v>
      </c>
      <c r="R102" s="29">
        <f t="shared" si="25"/>
        <v>4.5080053557071675E-3</v>
      </c>
      <c r="S102" s="29">
        <f t="shared" si="26"/>
        <v>0</v>
      </c>
      <c r="T102" s="29">
        <f t="shared" si="27"/>
        <v>0</v>
      </c>
      <c r="U102" s="29">
        <f t="shared" si="28"/>
        <v>0</v>
      </c>
      <c r="V102" s="29">
        <f t="shared" si="29"/>
        <v>0</v>
      </c>
    </row>
    <row r="103" spans="2:22" x14ac:dyDescent="0.25">
      <c r="B103" s="45">
        <v>45505</v>
      </c>
      <c r="C103" s="27">
        <v>149.73698425292969</v>
      </c>
      <c r="D103" s="27">
        <v>58969.8984375</v>
      </c>
      <c r="E103" s="27">
        <v>231.28999328613281</v>
      </c>
      <c r="F103" s="27">
        <v>88.167243957519531</v>
      </c>
      <c r="G103" s="27">
        <v>84.620780944824219</v>
      </c>
      <c r="H103" s="28"/>
      <c r="I103" s="28"/>
      <c r="J103" s="28"/>
      <c r="K103" s="28"/>
      <c r="M103" s="45">
        <f t="shared" ref="M103:M126" si="30">B103</f>
        <v>45505</v>
      </c>
      <c r="N103" s="29">
        <f t="shared" si="21"/>
        <v>2.8072093549758703E-2</v>
      </c>
      <c r="O103" s="29">
        <f t="shared" si="22"/>
        <v>-8.7425210947202237E-2</v>
      </c>
      <c r="P103" s="29">
        <f t="shared" si="23"/>
        <v>2.0922490269364991E-2</v>
      </c>
      <c r="Q103" s="29">
        <f t="shared" si="24"/>
        <v>5.2206529817910186E-2</v>
      </c>
      <c r="R103" s="29">
        <f t="shared" si="25"/>
        <v>4.6172077034256631E-3</v>
      </c>
      <c r="S103" s="29">
        <f t="shared" si="26"/>
        <v>0</v>
      </c>
      <c r="T103" s="29">
        <f t="shared" si="27"/>
        <v>0</v>
      </c>
      <c r="U103" s="29">
        <f t="shared" si="28"/>
        <v>0</v>
      </c>
      <c r="V103" s="29">
        <f t="shared" si="29"/>
        <v>0</v>
      </c>
    </row>
    <row r="104" spans="2:22" x14ac:dyDescent="0.25">
      <c r="B104" s="45">
        <v>45536</v>
      </c>
      <c r="C104" s="27">
        <v>152.3883361816406</v>
      </c>
      <c r="D104" s="27">
        <v>63329.5</v>
      </c>
      <c r="E104" s="27">
        <v>243.05999755859381</v>
      </c>
      <c r="F104" s="27">
        <v>91.050025939941406</v>
      </c>
      <c r="G104" s="27">
        <v>84.978057861328125</v>
      </c>
      <c r="H104" s="28"/>
      <c r="I104" s="28"/>
      <c r="J104" s="28"/>
      <c r="K104" s="28"/>
      <c r="M104" s="45">
        <f t="shared" si="30"/>
        <v>45536</v>
      </c>
      <c r="N104" s="29">
        <f t="shared" ref="N104:N126" si="31">IF(OR(NOT(ISNUMBER(C104)),NOT(ISNUMBER(C103)),C103=0),0,IFERROR(C104/C103-1,0))</f>
        <v>1.7706727178586457E-2</v>
      </c>
      <c r="O104" s="29">
        <f t="shared" ref="O104:O126" si="32">IF(OR(NOT(ISNUMBER(D104)),NOT(ISNUMBER(D103)),D103=0),0,IFERROR(D104/D103-1,0))</f>
        <v>7.3929270322901752E-2</v>
      </c>
      <c r="P104" s="29">
        <f t="shared" ref="P104:P126" si="33">IF(OR(NOT(ISNUMBER(E104)),NOT(ISNUMBER(E103)),E103=0),0,IFERROR(E104/E103-1,0))</f>
        <v>5.0888514912532878E-2</v>
      </c>
      <c r="Q104" s="29">
        <f t="shared" ref="Q104:Q126" si="34">IF(OR(NOT(ISNUMBER(F104)),NOT(ISNUMBER(F103)),F103=0),0,IFERROR(F104/F103-1,0))</f>
        <v>3.2696746013869404E-2</v>
      </c>
      <c r="R104" s="29">
        <f t="shared" ref="R104:R126" si="35">IF(OR(NOT(ISNUMBER(G104)),NOT(ISNUMBER(G103)),G103=0),0,IFERROR(G104/G103-1,0))</f>
        <v>4.2220942954527274E-3</v>
      </c>
      <c r="S104" s="29">
        <f t="shared" ref="S104:S126" si="36">IF(OR(NOT(ISNUMBER(H104)),NOT(ISNUMBER(H103)),H103=0),0,IFERROR(H104/H103-1,0))</f>
        <v>0</v>
      </c>
      <c r="T104" s="29">
        <f t="shared" ref="T104:T126" si="37">IF(OR(NOT(ISNUMBER(I104)),NOT(ISNUMBER(I103)),I103=0),0,IFERROR(I104/I103-1,0))</f>
        <v>0</v>
      </c>
      <c r="U104" s="29">
        <f t="shared" ref="U104:U126" si="38">IF(OR(NOT(ISNUMBER(J104)),NOT(ISNUMBER(J103)),J103=0),0,IFERROR(J104/J103-1,0))</f>
        <v>0</v>
      </c>
      <c r="V104" s="29">
        <f t="shared" ref="V104:V126" si="39">IF(OR(NOT(ISNUMBER(K104)),NOT(ISNUMBER(K103)),K103=0),0,IFERROR(K104/K103-1,0))</f>
        <v>0</v>
      </c>
    </row>
    <row r="105" spans="2:22" x14ac:dyDescent="0.25">
      <c r="B105" s="45">
        <v>45566</v>
      </c>
      <c r="C105" s="27">
        <v>149.29994201660159</v>
      </c>
      <c r="D105" s="27">
        <v>70215.1875</v>
      </c>
      <c r="E105" s="27">
        <v>253.50999450683591</v>
      </c>
      <c r="F105" s="27">
        <v>87.99383544921875</v>
      </c>
      <c r="G105" s="27">
        <v>85.313545227050781</v>
      </c>
      <c r="H105" s="28"/>
      <c r="I105" s="28"/>
      <c r="J105" s="28"/>
      <c r="K105" s="28"/>
      <c r="M105" s="45">
        <f t="shared" si="30"/>
        <v>45566</v>
      </c>
      <c r="N105" s="29">
        <f t="shared" si="31"/>
        <v>-2.0266604665581278E-2</v>
      </c>
      <c r="O105" s="29">
        <f t="shared" si="32"/>
        <v>0.10872796248193972</v>
      </c>
      <c r="P105" s="29">
        <f t="shared" si="33"/>
        <v>4.2993487423708787E-2</v>
      </c>
      <c r="Q105" s="29">
        <f t="shared" si="34"/>
        <v>-3.3566058429665757E-2</v>
      </c>
      <c r="R105" s="29">
        <f t="shared" si="35"/>
        <v>3.947929314531029E-3</v>
      </c>
      <c r="S105" s="29">
        <f t="shared" si="36"/>
        <v>0</v>
      </c>
      <c r="T105" s="29">
        <f t="shared" si="37"/>
        <v>0</v>
      </c>
      <c r="U105" s="29">
        <f t="shared" si="38"/>
        <v>0</v>
      </c>
      <c r="V105" s="29">
        <f t="shared" si="39"/>
        <v>0</v>
      </c>
    </row>
    <row r="106" spans="2:22" x14ac:dyDescent="0.25">
      <c r="B106" s="45">
        <v>45597</v>
      </c>
      <c r="C106" s="27">
        <v>156.4964294433594</v>
      </c>
      <c r="D106" s="27">
        <v>96449.0546875</v>
      </c>
      <c r="E106" s="27">
        <v>245.5899963378906</v>
      </c>
      <c r="F106" s="27">
        <v>91.741653442382813</v>
      </c>
      <c r="G106" s="27">
        <v>85.629844665527344</v>
      </c>
      <c r="H106" s="28"/>
      <c r="I106" s="28"/>
      <c r="J106" s="28"/>
      <c r="K106" s="28"/>
      <c r="M106" s="45">
        <f t="shared" si="30"/>
        <v>45597</v>
      </c>
      <c r="N106" s="29">
        <f t="shared" si="31"/>
        <v>4.8201542007012987E-2</v>
      </c>
      <c r="O106" s="29">
        <f t="shared" si="32"/>
        <v>0.3736209803256596</v>
      </c>
      <c r="P106" s="29">
        <f t="shared" si="33"/>
        <v>-3.1241364603208033E-2</v>
      </c>
      <c r="Q106" s="29">
        <f t="shared" si="34"/>
        <v>4.2591824461691186E-2</v>
      </c>
      <c r="R106" s="29">
        <f t="shared" si="35"/>
        <v>3.7074937823151632E-3</v>
      </c>
      <c r="S106" s="29">
        <f t="shared" si="36"/>
        <v>0</v>
      </c>
      <c r="T106" s="29">
        <f t="shared" si="37"/>
        <v>0</v>
      </c>
      <c r="U106" s="29">
        <f t="shared" si="38"/>
        <v>0</v>
      </c>
      <c r="V106" s="29">
        <f t="shared" si="39"/>
        <v>0</v>
      </c>
    </row>
    <row r="107" spans="2:22" x14ac:dyDescent="0.25">
      <c r="B107" s="45">
        <v>45627</v>
      </c>
      <c r="C107" s="27">
        <v>152.05616760253909</v>
      </c>
      <c r="D107" s="27">
        <v>93429.203125</v>
      </c>
      <c r="E107" s="27">
        <v>242.1300048828125</v>
      </c>
      <c r="F107" s="27">
        <v>84.060859680175781</v>
      </c>
      <c r="G107" s="27">
        <v>85.975028991699219</v>
      </c>
      <c r="H107" s="28"/>
      <c r="I107" s="28"/>
      <c r="J107" s="28"/>
      <c r="K107" s="28"/>
      <c r="M107" s="45">
        <f t="shared" si="30"/>
        <v>45627</v>
      </c>
      <c r="N107" s="29">
        <f t="shared" si="31"/>
        <v>-2.8372927463034325E-2</v>
      </c>
      <c r="O107" s="29">
        <f t="shared" si="32"/>
        <v>-3.1310328258628117E-2</v>
      </c>
      <c r="P107" s="29">
        <f t="shared" si="33"/>
        <v>-1.4088486936241984E-2</v>
      </c>
      <c r="Q107" s="29">
        <f t="shared" si="34"/>
        <v>-8.3721989674307107E-2</v>
      </c>
      <c r="R107" s="29">
        <f t="shared" si="35"/>
        <v>4.0311217136990152E-3</v>
      </c>
      <c r="S107" s="29">
        <f t="shared" si="36"/>
        <v>0</v>
      </c>
      <c r="T107" s="29">
        <f t="shared" si="37"/>
        <v>0</v>
      </c>
      <c r="U107" s="29">
        <f t="shared" si="38"/>
        <v>0</v>
      </c>
      <c r="V107" s="29">
        <f t="shared" si="39"/>
        <v>0</v>
      </c>
    </row>
    <row r="108" spans="2:22" x14ac:dyDescent="0.25">
      <c r="B108" s="45">
        <v>45658</v>
      </c>
      <c r="C108" s="27">
        <v>157.10191345214841</v>
      </c>
      <c r="D108" s="27">
        <v>102405.0234375</v>
      </c>
      <c r="E108" s="27">
        <v>258.55999755859381</v>
      </c>
      <c r="F108" s="27">
        <v>85.448036193847656</v>
      </c>
      <c r="G108" s="27">
        <v>86.27593994140625</v>
      </c>
      <c r="H108" s="28"/>
      <c r="I108" s="28"/>
      <c r="J108" s="28"/>
      <c r="K108" s="28"/>
      <c r="M108" s="45">
        <f t="shared" si="30"/>
        <v>45658</v>
      </c>
      <c r="N108" s="29">
        <f t="shared" si="31"/>
        <v>3.3183434313551974E-2</v>
      </c>
      <c r="O108" s="29">
        <f t="shared" si="32"/>
        <v>9.6070821673295725E-2</v>
      </c>
      <c r="P108" s="29">
        <f t="shared" si="33"/>
        <v>6.7856078736434178E-2</v>
      </c>
      <c r="Q108" s="29">
        <f t="shared" si="34"/>
        <v>1.6502050049804762E-2</v>
      </c>
      <c r="R108" s="29">
        <f t="shared" si="35"/>
        <v>3.4999807878643985E-3</v>
      </c>
      <c r="S108" s="29">
        <f t="shared" si="36"/>
        <v>0</v>
      </c>
      <c r="T108" s="29">
        <f t="shared" si="37"/>
        <v>0</v>
      </c>
      <c r="U108" s="29">
        <f t="shared" si="38"/>
        <v>0</v>
      </c>
      <c r="V108" s="29">
        <f t="shared" si="39"/>
        <v>0</v>
      </c>
    </row>
    <row r="109" spans="2:22" x14ac:dyDescent="0.25">
      <c r="B109" s="45">
        <v>45689</v>
      </c>
      <c r="C109" s="27">
        <v>156.4565124511719</v>
      </c>
      <c r="D109" s="27">
        <v>84373.0078125</v>
      </c>
      <c r="E109" s="27">
        <v>263.26998901367188</v>
      </c>
      <c r="F109" s="27">
        <v>88.609291076660156</v>
      </c>
      <c r="G109" s="27">
        <v>86.555259704589844</v>
      </c>
      <c r="H109" s="28"/>
      <c r="I109" s="28"/>
      <c r="J109" s="28"/>
      <c r="K109" s="28"/>
      <c r="M109" s="45">
        <f t="shared" si="30"/>
        <v>45689</v>
      </c>
      <c r="N109" s="29">
        <f t="shared" si="31"/>
        <v>-4.1081676651448795E-3</v>
      </c>
      <c r="O109" s="29">
        <f t="shared" si="32"/>
        <v>-0.17608526437187266</v>
      </c>
      <c r="P109" s="29">
        <f t="shared" si="33"/>
        <v>1.821624187635873E-2</v>
      </c>
      <c r="Q109" s="29">
        <f t="shared" si="34"/>
        <v>3.699622628706023E-2</v>
      </c>
      <c r="R109" s="29">
        <f t="shared" si="35"/>
        <v>3.2375163153630648E-3</v>
      </c>
      <c r="S109" s="29">
        <f t="shared" si="36"/>
        <v>0</v>
      </c>
      <c r="T109" s="29">
        <f t="shared" si="37"/>
        <v>0</v>
      </c>
      <c r="U109" s="29">
        <f t="shared" si="38"/>
        <v>0</v>
      </c>
      <c r="V109" s="29">
        <f t="shared" si="39"/>
        <v>0</v>
      </c>
    </row>
    <row r="110" spans="2:22" x14ac:dyDescent="0.25">
      <c r="B110" s="45">
        <v>45717</v>
      </c>
      <c r="C110" s="27">
        <v>149.78755187988281</v>
      </c>
      <c r="D110" s="27">
        <v>82548.9140625</v>
      </c>
      <c r="E110" s="27">
        <v>288.1400146484375</v>
      </c>
      <c r="F110" s="27">
        <v>86.316268920898438</v>
      </c>
      <c r="G110" s="27">
        <v>86.838310241699219</v>
      </c>
      <c r="H110" s="28"/>
      <c r="I110" s="28"/>
      <c r="J110" s="28"/>
      <c r="K110" s="28"/>
      <c r="M110" s="45">
        <f t="shared" si="30"/>
        <v>45717</v>
      </c>
      <c r="N110" s="29">
        <f t="shared" si="31"/>
        <v>-4.2625011044972516E-2</v>
      </c>
      <c r="O110" s="29">
        <f t="shared" si="32"/>
        <v>-2.1619399346929025E-2</v>
      </c>
      <c r="P110" s="29">
        <f t="shared" si="33"/>
        <v>9.4465858899983157E-2</v>
      </c>
      <c r="Q110" s="29">
        <f t="shared" si="34"/>
        <v>-2.5877897542120221E-2</v>
      </c>
      <c r="R110" s="29">
        <f t="shared" si="35"/>
        <v>3.2701714266172299E-3</v>
      </c>
      <c r="S110" s="29">
        <f t="shared" si="36"/>
        <v>0</v>
      </c>
      <c r="T110" s="29">
        <f t="shared" si="37"/>
        <v>0</v>
      </c>
      <c r="U110" s="29">
        <f t="shared" si="38"/>
        <v>0</v>
      </c>
      <c r="V110" s="29">
        <f t="shared" si="39"/>
        <v>0</v>
      </c>
    </row>
    <row r="111" spans="2:22" x14ac:dyDescent="0.25">
      <c r="B111" s="45">
        <v>45748</v>
      </c>
      <c r="C111" s="27">
        <v>150.8631896972656</v>
      </c>
      <c r="D111" s="27">
        <v>94207.3125</v>
      </c>
      <c r="E111" s="27">
        <v>303.76998901367188</v>
      </c>
      <c r="F111" s="27">
        <v>84.209365844726563</v>
      </c>
      <c r="G111" s="27">
        <v>87.133766174316406</v>
      </c>
      <c r="H111" s="28"/>
      <c r="I111" s="28"/>
      <c r="J111" s="28"/>
      <c r="K111" s="28"/>
      <c r="M111" s="45">
        <f t="shared" si="30"/>
        <v>45748</v>
      </c>
      <c r="N111" s="29">
        <f t="shared" si="31"/>
        <v>7.1810895089956528E-3</v>
      </c>
      <c r="O111" s="29">
        <f t="shared" si="32"/>
        <v>0.14123018539860022</v>
      </c>
      <c r="P111" s="29">
        <f t="shared" si="33"/>
        <v>5.424437277239913E-2</v>
      </c>
      <c r="Q111" s="29">
        <f t="shared" si="34"/>
        <v>-2.4409107373520422E-2</v>
      </c>
      <c r="R111" s="29">
        <f t="shared" si="35"/>
        <v>3.402368514482168E-3</v>
      </c>
      <c r="S111" s="29">
        <f t="shared" si="36"/>
        <v>0</v>
      </c>
      <c r="T111" s="29">
        <f t="shared" si="37"/>
        <v>0</v>
      </c>
      <c r="U111" s="29">
        <f t="shared" si="38"/>
        <v>0</v>
      </c>
      <c r="V111" s="29">
        <f t="shared" si="39"/>
        <v>0</v>
      </c>
    </row>
    <row r="112" spans="2:22" x14ac:dyDescent="0.25">
      <c r="B112" s="45">
        <v>45778</v>
      </c>
      <c r="C112" s="27">
        <v>159.69319152832031</v>
      </c>
      <c r="D112" s="27">
        <v>104638.09375</v>
      </c>
      <c r="E112" s="27">
        <v>303.60000610351563</v>
      </c>
      <c r="F112" s="27">
        <v>85.153182983398438</v>
      </c>
      <c r="G112" s="27">
        <v>87.450233459472656</v>
      </c>
      <c r="H112" s="28"/>
      <c r="I112" s="28"/>
      <c r="J112" s="28"/>
      <c r="K112" s="28"/>
      <c r="M112" s="45">
        <f t="shared" si="30"/>
        <v>45778</v>
      </c>
      <c r="N112" s="29">
        <f t="shared" si="31"/>
        <v>5.8529863041963504E-2</v>
      </c>
      <c r="O112" s="29">
        <f t="shared" si="32"/>
        <v>0.11072156686350643</v>
      </c>
      <c r="P112" s="29">
        <f t="shared" si="33"/>
        <v>-5.5957769465042606E-4</v>
      </c>
      <c r="Q112" s="29">
        <f t="shared" si="34"/>
        <v>1.1207982974390074E-2</v>
      </c>
      <c r="R112" s="29">
        <f t="shared" si="35"/>
        <v>3.6319706934637708E-3</v>
      </c>
      <c r="S112" s="29">
        <f t="shared" si="36"/>
        <v>0</v>
      </c>
      <c r="T112" s="29">
        <f t="shared" si="37"/>
        <v>0</v>
      </c>
      <c r="U112" s="29">
        <f t="shared" si="38"/>
        <v>0</v>
      </c>
      <c r="V112" s="29">
        <f t="shared" si="39"/>
        <v>0</v>
      </c>
    </row>
    <row r="113" spans="2:22" x14ac:dyDescent="0.25">
      <c r="B113" s="45">
        <v>45809</v>
      </c>
      <c r="C113" s="27">
        <v>166.90434265136719</v>
      </c>
      <c r="D113" s="27">
        <v>107135.3359375</v>
      </c>
      <c r="E113" s="27">
        <v>304.82998657226563</v>
      </c>
      <c r="F113" s="27">
        <v>85.739448547363281</v>
      </c>
      <c r="G113" s="27">
        <v>87.742950439453125</v>
      </c>
      <c r="H113" s="28"/>
      <c r="I113" s="28"/>
      <c r="J113" s="28"/>
      <c r="K113" s="28"/>
      <c r="M113" s="45">
        <f t="shared" si="30"/>
        <v>45809</v>
      </c>
      <c r="N113" s="29">
        <f t="shared" si="31"/>
        <v>4.5156284084710174E-2</v>
      </c>
      <c r="O113" s="29">
        <f t="shared" si="32"/>
        <v>2.3865516830480216E-2</v>
      </c>
      <c r="P113" s="29">
        <f t="shared" si="33"/>
        <v>4.0513189855819753E-3</v>
      </c>
      <c r="Q113" s="29">
        <f t="shared" si="34"/>
        <v>6.8848344057690358E-3</v>
      </c>
      <c r="R113" s="29">
        <f t="shared" si="35"/>
        <v>3.3472406922290254E-3</v>
      </c>
      <c r="S113" s="29">
        <f t="shared" si="36"/>
        <v>0</v>
      </c>
      <c r="T113" s="29">
        <f t="shared" si="37"/>
        <v>0</v>
      </c>
      <c r="U113" s="29">
        <f t="shared" si="38"/>
        <v>0</v>
      </c>
      <c r="V113" s="29">
        <f t="shared" si="39"/>
        <v>0</v>
      </c>
    </row>
    <row r="114" spans="2:22" x14ac:dyDescent="0.25">
      <c r="B114" s="45">
        <v>45839</v>
      </c>
      <c r="C114" s="27">
        <v>168.59919738769531</v>
      </c>
      <c r="D114" s="27">
        <v>115758.203125</v>
      </c>
      <c r="E114" s="27">
        <v>302.95999145507813</v>
      </c>
      <c r="F114" s="27">
        <v>85.81646728515625</v>
      </c>
      <c r="G114" s="27">
        <v>88.055816650390625</v>
      </c>
      <c r="H114" s="28"/>
      <c r="I114" s="28"/>
      <c r="J114" s="28"/>
      <c r="K114" s="28"/>
      <c r="M114" s="45">
        <f t="shared" si="30"/>
        <v>45839</v>
      </c>
      <c r="N114" s="29">
        <f t="shared" si="31"/>
        <v>1.0154647323157739E-2</v>
      </c>
      <c r="O114" s="29">
        <f t="shared" si="32"/>
        <v>8.0485743681527833E-2</v>
      </c>
      <c r="P114" s="29">
        <f t="shared" si="33"/>
        <v>-6.1345510598058706E-3</v>
      </c>
      <c r="Q114" s="29">
        <f t="shared" si="34"/>
        <v>8.9828823368764965E-4</v>
      </c>
      <c r="R114" s="29">
        <f t="shared" si="35"/>
        <v>3.5657133635298432E-3</v>
      </c>
      <c r="S114" s="29">
        <f t="shared" si="36"/>
        <v>0</v>
      </c>
      <c r="T114" s="29">
        <f t="shared" si="37"/>
        <v>0</v>
      </c>
      <c r="U114" s="29">
        <f t="shared" si="38"/>
        <v>0</v>
      </c>
      <c r="V114" s="29">
        <f t="shared" si="39"/>
        <v>0</v>
      </c>
    </row>
    <row r="115" spans="2:22" x14ac:dyDescent="0.25">
      <c r="B115" s="45">
        <v>45870</v>
      </c>
      <c r="C115" s="27">
        <v>173.30934143066409</v>
      </c>
      <c r="D115" s="27">
        <v>108236.7109375</v>
      </c>
      <c r="E115" s="27">
        <v>318.07000732421881</v>
      </c>
      <c r="F115" s="27">
        <v>88.800880432128906</v>
      </c>
      <c r="G115" s="27">
        <v>88.382308959960938</v>
      </c>
      <c r="H115" s="28"/>
      <c r="I115" s="28"/>
      <c r="J115" s="28"/>
      <c r="K115" s="28"/>
      <c r="M115" s="45">
        <f t="shared" si="30"/>
        <v>45870</v>
      </c>
      <c r="N115" s="29">
        <f t="shared" si="31"/>
        <v>2.7936930400313642E-2</v>
      </c>
      <c r="O115" s="29">
        <f t="shared" si="32"/>
        <v>-6.4975889262707476E-2</v>
      </c>
      <c r="P115" s="29">
        <f t="shared" si="33"/>
        <v>4.9874624687468394E-2</v>
      </c>
      <c r="Q115" s="29">
        <f t="shared" si="34"/>
        <v>3.4776695445360994E-2</v>
      </c>
      <c r="R115" s="29">
        <f t="shared" si="35"/>
        <v>3.7077881052036687E-3</v>
      </c>
      <c r="S115" s="29">
        <f t="shared" si="36"/>
        <v>0</v>
      </c>
      <c r="T115" s="29">
        <f t="shared" si="37"/>
        <v>0</v>
      </c>
      <c r="U115" s="29">
        <f t="shared" si="38"/>
        <v>0</v>
      </c>
      <c r="V115" s="29">
        <f t="shared" si="39"/>
        <v>0</v>
      </c>
    </row>
    <row r="116" spans="2:22" x14ac:dyDescent="0.25">
      <c r="B116" s="45">
        <v>45901</v>
      </c>
      <c r="C116" s="27">
        <v>178.90631103515619</v>
      </c>
      <c r="D116" s="27">
        <v>114056.0859375</v>
      </c>
      <c r="E116" s="27">
        <v>355.47000122070313</v>
      </c>
      <c r="F116" s="27">
        <v>88.852066040039063</v>
      </c>
      <c r="G116" s="27">
        <v>88.674171447753906</v>
      </c>
      <c r="H116" s="28"/>
      <c r="I116" s="28"/>
      <c r="J116" s="28"/>
      <c r="K116" s="28"/>
      <c r="M116" s="45">
        <f t="shared" si="30"/>
        <v>45901</v>
      </c>
      <c r="N116" s="29">
        <f t="shared" si="31"/>
        <v>3.2294679319009978E-2</v>
      </c>
      <c r="O116" s="29">
        <f t="shared" si="32"/>
        <v>5.3765260876786236E-2</v>
      </c>
      <c r="P116" s="29">
        <f t="shared" si="33"/>
        <v>0.11758415768627106</v>
      </c>
      <c r="Q116" s="29">
        <f t="shared" si="34"/>
        <v>5.7640878852849298E-4</v>
      </c>
      <c r="R116" s="29">
        <f t="shared" si="35"/>
        <v>3.3022727198175339E-3</v>
      </c>
      <c r="S116" s="29">
        <f t="shared" si="36"/>
        <v>0</v>
      </c>
      <c r="T116" s="29">
        <f t="shared" si="37"/>
        <v>0</v>
      </c>
      <c r="U116" s="29">
        <f t="shared" si="38"/>
        <v>0</v>
      </c>
      <c r="V116" s="29">
        <f t="shared" si="39"/>
        <v>0</v>
      </c>
    </row>
    <row r="117" spans="2:22" x14ac:dyDescent="0.25">
      <c r="B117" s="45">
        <v>45931</v>
      </c>
      <c r="C117" s="27">
        <v>182.3255920410156</v>
      </c>
      <c r="D117" s="27">
        <v>109556.1640625</v>
      </c>
      <c r="E117" s="27">
        <v>368.1199951171875</v>
      </c>
      <c r="F117" s="27">
        <v>86.674995422363281</v>
      </c>
      <c r="G117" s="27">
        <v>88.985466003417969</v>
      </c>
      <c r="H117" s="28"/>
      <c r="I117" s="28"/>
      <c r="J117" s="28"/>
      <c r="K117" s="28"/>
      <c r="M117" s="45">
        <f t="shared" si="30"/>
        <v>45931</v>
      </c>
      <c r="N117" s="29">
        <f t="shared" si="31"/>
        <v>1.9112131853121106E-2</v>
      </c>
      <c r="O117" s="29">
        <f t="shared" si="32"/>
        <v>-3.9453588451788923E-2</v>
      </c>
      <c r="P117" s="29">
        <f t="shared" si="33"/>
        <v>3.5586670754335525E-2</v>
      </c>
      <c r="Q117" s="29">
        <f t="shared" si="34"/>
        <v>-2.4502194655718346E-2</v>
      </c>
      <c r="R117" s="29">
        <f t="shared" si="35"/>
        <v>3.5105437195708245E-3</v>
      </c>
      <c r="S117" s="29">
        <f t="shared" si="36"/>
        <v>0</v>
      </c>
      <c r="T117" s="29">
        <f t="shared" si="37"/>
        <v>0</v>
      </c>
      <c r="U117" s="29">
        <f t="shared" si="38"/>
        <v>0</v>
      </c>
      <c r="V117" s="29">
        <f t="shared" si="39"/>
        <v>0</v>
      </c>
    </row>
    <row r="118" spans="2:22" x14ac:dyDescent="0.25">
      <c r="B118" s="45">
        <v>45962</v>
      </c>
      <c r="C118" s="27">
        <v>182.9463806152344</v>
      </c>
      <c r="D118" s="27">
        <v>90394.3125</v>
      </c>
      <c r="E118" s="27">
        <v>387.8800048828125</v>
      </c>
      <c r="F118" s="27">
        <v>88.774314880371094</v>
      </c>
      <c r="G118" s="27">
        <v>89.241363525390625</v>
      </c>
      <c r="H118" s="28"/>
      <c r="I118" s="28"/>
      <c r="J118" s="28"/>
      <c r="K118" s="28"/>
      <c r="M118" s="45">
        <f t="shared" si="30"/>
        <v>45962</v>
      </c>
      <c r="N118" s="29">
        <f t="shared" si="31"/>
        <v>3.4048350934692273E-3</v>
      </c>
      <c r="O118" s="29">
        <f t="shared" si="32"/>
        <v>-0.1749043673304268</v>
      </c>
      <c r="P118" s="29">
        <f t="shared" si="33"/>
        <v>5.3678175670231143E-2</v>
      </c>
      <c r="Q118" s="29">
        <f t="shared" si="34"/>
        <v>2.4220589199663856E-2</v>
      </c>
      <c r="R118" s="29">
        <f t="shared" si="35"/>
        <v>2.8757226709676953E-3</v>
      </c>
      <c r="S118" s="29">
        <f t="shared" si="36"/>
        <v>0</v>
      </c>
      <c r="T118" s="29">
        <f t="shared" si="37"/>
        <v>0</v>
      </c>
      <c r="U118" s="29">
        <f t="shared" si="38"/>
        <v>0</v>
      </c>
      <c r="V118" s="29">
        <f t="shared" si="39"/>
        <v>0</v>
      </c>
    </row>
    <row r="119" spans="2:22" x14ac:dyDescent="0.25">
      <c r="B119" s="45">
        <v>45992</v>
      </c>
      <c r="C119" s="27">
        <v>184.53594970703119</v>
      </c>
      <c r="D119" s="27">
        <v>87508.828125</v>
      </c>
      <c r="E119" s="27">
        <v>396.30999755859381</v>
      </c>
      <c r="F119" s="27">
        <v>86.789093017578125</v>
      </c>
      <c r="G119" s="27">
        <v>89.540489196777344</v>
      </c>
      <c r="H119" s="28"/>
      <c r="I119" s="28"/>
      <c r="J119" s="28"/>
      <c r="K119" s="28"/>
      <c r="M119" s="45">
        <f t="shared" si="30"/>
        <v>45992</v>
      </c>
      <c r="N119" s="29">
        <f t="shared" si="31"/>
        <v>8.6887157125010717E-3</v>
      </c>
      <c r="O119" s="29">
        <f t="shared" si="32"/>
        <v>-3.1921083253993454E-2</v>
      </c>
      <c r="P119" s="29">
        <f t="shared" si="33"/>
        <v>2.1733506676448133E-2</v>
      </c>
      <c r="Q119" s="29">
        <f t="shared" si="34"/>
        <v>-2.2362570361350365E-2</v>
      </c>
      <c r="R119" s="29">
        <f t="shared" si="35"/>
        <v>3.3518724901777652E-3</v>
      </c>
      <c r="S119" s="29">
        <f t="shared" si="36"/>
        <v>0</v>
      </c>
      <c r="T119" s="29">
        <f t="shared" si="37"/>
        <v>0</v>
      </c>
      <c r="U119" s="29">
        <f t="shared" si="38"/>
        <v>0</v>
      </c>
      <c r="V119" s="29">
        <f t="shared" si="39"/>
        <v>0</v>
      </c>
    </row>
    <row r="120" spans="2:22" x14ac:dyDescent="0.25">
      <c r="B120" s="45">
        <v>46023</v>
      </c>
      <c r="C120" s="27">
        <v>188.37030029296881</v>
      </c>
      <c r="D120" s="27">
        <v>78621.1171875</v>
      </c>
      <c r="E120" s="27">
        <v>444.95001220703119</v>
      </c>
      <c r="F120" s="27">
        <v>89.054695129394531</v>
      </c>
      <c r="G120" s="27">
        <v>89.805068969726563</v>
      </c>
      <c r="H120" s="28"/>
      <c r="I120" s="28"/>
      <c r="J120" s="28"/>
      <c r="K120" s="28"/>
      <c r="M120" s="45">
        <f t="shared" si="30"/>
        <v>46023</v>
      </c>
      <c r="N120" s="29">
        <f t="shared" si="31"/>
        <v>2.0778339353524355E-2</v>
      </c>
      <c r="O120" s="29">
        <f t="shared" si="32"/>
        <v>-0.10156359224471101</v>
      </c>
      <c r="P120" s="29">
        <f t="shared" si="33"/>
        <v>0.12273224230545954</v>
      </c>
      <c r="Q120" s="29">
        <f t="shared" si="34"/>
        <v>2.6104687041233809E-2</v>
      </c>
      <c r="R120" s="29">
        <f t="shared" si="35"/>
        <v>2.9548618208659061E-3</v>
      </c>
      <c r="S120" s="29">
        <f t="shared" si="36"/>
        <v>0</v>
      </c>
      <c r="T120" s="29">
        <f t="shared" si="37"/>
        <v>0</v>
      </c>
      <c r="U120" s="29">
        <f t="shared" si="38"/>
        <v>0</v>
      </c>
      <c r="V120" s="29">
        <f t="shared" si="39"/>
        <v>0</v>
      </c>
    </row>
    <row r="121" spans="2:22" x14ac:dyDescent="0.25">
      <c r="B121" s="45">
        <v>46054</v>
      </c>
      <c r="C121" s="27">
        <v>189.572265625</v>
      </c>
      <c r="D121" s="27">
        <v>66995.859375</v>
      </c>
      <c r="E121" s="27">
        <v>483.75</v>
      </c>
      <c r="F121" s="27">
        <v>93.8507080078125</v>
      </c>
      <c r="G121" s="27">
        <v>90.044868469238281</v>
      </c>
      <c r="H121" s="28"/>
      <c r="I121" s="28"/>
      <c r="J121" s="28"/>
      <c r="K121" s="28"/>
      <c r="M121" s="45">
        <f t="shared" si="30"/>
        <v>46054</v>
      </c>
      <c r="N121" s="29">
        <f t="shared" si="31"/>
        <v>6.3808643409379862E-3</v>
      </c>
      <c r="O121" s="29">
        <f t="shared" si="32"/>
        <v>-0.14786431722631777</v>
      </c>
      <c r="P121" s="29">
        <f t="shared" si="33"/>
        <v>8.7200779252738947E-2</v>
      </c>
      <c r="Q121" s="29">
        <f t="shared" si="34"/>
        <v>5.3854688643304671E-2</v>
      </c>
      <c r="R121" s="29">
        <f t="shared" si="35"/>
        <v>2.6702223188821428E-3</v>
      </c>
      <c r="S121" s="29">
        <f t="shared" si="36"/>
        <v>0</v>
      </c>
      <c r="T121" s="29">
        <f t="shared" si="37"/>
        <v>0</v>
      </c>
      <c r="U121" s="29">
        <f t="shared" si="38"/>
        <v>0</v>
      </c>
      <c r="V121" s="29">
        <f t="shared" si="39"/>
        <v>0</v>
      </c>
    </row>
    <row r="122" spans="2:22" x14ac:dyDescent="0.25">
      <c r="B122" s="45">
        <v>46082</v>
      </c>
      <c r="C122" s="27">
        <v>178.82414245605469</v>
      </c>
      <c r="D122" s="27">
        <v>68233.3125</v>
      </c>
      <c r="E122" s="27">
        <v>430.29000854492188</v>
      </c>
      <c r="F122" s="27">
        <v>87.925025939941406</v>
      </c>
      <c r="G122" s="27">
        <v>90.304039001464844</v>
      </c>
      <c r="H122" s="28"/>
      <c r="I122" s="28"/>
      <c r="J122" s="28"/>
      <c r="K122" s="28"/>
      <c r="M122" s="45">
        <f t="shared" si="30"/>
        <v>46082</v>
      </c>
      <c r="N122" s="29">
        <f t="shared" si="31"/>
        <v>-5.669670683899819E-2</v>
      </c>
      <c r="O122" s="29">
        <f t="shared" si="32"/>
        <v>1.8470591116288571E-2</v>
      </c>
      <c r="P122" s="29">
        <f t="shared" si="33"/>
        <v>-0.11051161024305556</v>
      </c>
      <c r="Q122" s="29">
        <f t="shared" si="34"/>
        <v>-6.3139449809774706E-2</v>
      </c>
      <c r="R122" s="29">
        <f t="shared" si="35"/>
        <v>2.8782376678699872E-3</v>
      </c>
      <c r="S122" s="29">
        <f t="shared" si="36"/>
        <v>0</v>
      </c>
      <c r="T122" s="29">
        <f t="shared" si="37"/>
        <v>0</v>
      </c>
      <c r="U122" s="29">
        <f t="shared" si="38"/>
        <v>0</v>
      </c>
      <c r="V122" s="29">
        <f t="shared" si="39"/>
        <v>0</v>
      </c>
    </row>
    <row r="123" spans="2:22" x14ac:dyDescent="0.25">
      <c r="B123" s="45">
        <v>46113</v>
      </c>
      <c r="C123" s="27">
        <v>195.24433898925781</v>
      </c>
      <c r="D123" s="27">
        <v>76304.3203125</v>
      </c>
      <c r="E123" s="27">
        <v>423.66000366210938</v>
      </c>
      <c r="F123" s="27">
        <v>95.488372802734375</v>
      </c>
      <c r="G123" s="27">
        <v>90.56494140625</v>
      </c>
      <c r="H123" s="28"/>
      <c r="I123" s="28"/>
      <c r="J123" s="28"/>
      <c r="K123" s="28"/>
      <c r="M123" s="45">
        <f t="shared" si="30"/>
        <v>46113</v>
      </c>
      <c r="N123" s="29">
        <f t="shared" si="31"/>
        <v>9.1823152666527186E-2</v>
      </c>
      <c r="O123" s="29">
        <f t="shared" si="32"/>
        <v>0.1182854461667826</v>
      </c>
      <c r="P123" s="29">
        <f t="shared" si="33"/>
        <v>-1.5408224107347213E-2</v>
      </c>
      <c r="Q123" s="29">
        <f t="shared" si="34"/>
        <v>8.6020410934643632E-2</v>
      </c>
      <c r="R123" s="29">
        <f t="shared" si="35"/>
        <v>2.8891554316958779E-3</v>
      </c>
      <c r="S123" s="29">
        <f t="shared" si="36"/>
        <v>0</v>
      </c>
      <c r="T123" s="29">
        <f t="shared" si="37"/>
        <v>0</v>
      </c>
      <c r="U123" s="29">
        <f t="shared" si="38"/>
        <v>0</v>
      </c>
      <c r="V123" s="29">
        <f t="shared" si="39"/>
        <v>0</v>
      </c>
    </row>
    <row r="124" spans="2:22" x14ac:dyDescent="0.25">
      <c r="B124" s="45">
        <v>46143</v>
      </c>
      <c r="C124" s="27">
        <v>203.56864929199219</v>
      </c>
      <c r="D124" s="27">
        <v>73579.6875</v>
      </c>
      <c r="E124" s="27">
        <v>417.1199951171875</v>
      </c>
      <c r="F124" s="27">
        <v>94.863868713378906</v>
      </c>
      <c r="G124" s="27">
        <v>90.852394104003906</v>
      </c>
      <c r="H124" s="28"/>
      <c r="I124" s="28"/>
      <c r="J124" s="28"/>
      <c r="K124" s="28"/>
      <c r="M124" s="45">
        <f t="shared" si="30"/>
        <v>46143</v>
      </c>
      <c r="N124" s="29">
        <f t="shared" si="31"/>
        <v>4.2635347820211944E-2</v>
      </c>
      <c r="O124" s="29">
        <f t="shared" si="32"/>
        <v>-3.5707451443659055E-2</v>
      </c>
      <c r="P124" s="29">
        <f t="shared" si="33"/>
        <v>-1.5436926989543909E-2</v>
      </c>
      <c r="Q124" s="29">
        <f t="shared" si="34"/>
        <v>-6.5401060990494253E-3</v>
      </c>
      <c r="R124" s="29">
        <f t="shared" si="35"/>
        <v>3.1739952932170468E-3</v>
      </c>
      <c r="S124" s="29">
        <f t="shared" si="36"/>
        <v>0</v>
      </c>
      <c r="T124" s="29">
        <f t="shared" si="37"/>
        <v>0</v>
      </c>
      <c r="U124" s="29">
        <f t="shared" si="38"/>
        <v>0</v>
      </c>
      <c r="V124" s="29">
        <f t="shared" si="39"/>
        <v>0</v>
      </c>
    </row>
    <row r="125" spans="2:22" x14ac:dyDescent="0.25">
      <c r="B125" s="45">
        <v>46174</v>
      </c>
      <c r="C125" s="27">
        <v>202.63999938964841</v>
      </c>
      <c r="D125" s="27">
        <v>58558.859375</v>
      </c>
      <c r="E125" s="27">
        <v>368.3800048828125</v>
      </c>
      <c r="F125" s="27">
        <v>96.430000305175781</v>
      </c>
      <c r="G125" s="27">
        <v>91.099922180175781</v>
      </c>
      <c r="H125" s="28"/>
      <c r="I125" s="28"/>
      <c r="J125" s="28"/>
      <c r="K125" s="28"/>
      <c r="M125" s="45">
        <f t="shared" si="30"/>
        <v>46174</v>
      </c>
      <c r="N125" s="29">
        <f t="shared" si="31"/>
        <v>-4.5618512751035567E-3</v>
      </c>
      <c r="O125" s="29">
        <f t="shared" si="32"/>
        <v>-0.20414367925930643</v>
      </c>
      <c r="P125" s="29">
        <f t="shared" si="33"/>
        <v>-0.11684884638695336</v>
      </c>
      <c r="Q125" s="29">
        <f t="shared" si="34"/>
        <v>1.6509252817094922E-2</v>
      </c>
      <c r="R125" s="29">
        <f t="shared" si="35"/>
        <v>2.7245080177911163E-3</v>
      </c>
      <c r="S125" s="29">
        <f t="shared" si="36"/>
        <v>0</v>
      </c>
      <c r="T125" s="29">
        <f t="shared" si="37"/>
        <v>0</v>
      </c>
      <c r="U125" s="29">
        <f t="shared" si="38"/>
        <v>0</v>
      </c>
      <c r="V125" s="29">
        <f t="shared" si="39"/>
        <v>0</v>
      </c>
    </row>
    <row r="126" spans="2:22" x14ac:dyDescent="0.25">
      <c r="B126" s="45">
        <v>46204</v>
      </c>
      <c r="C126" s="27">
        <v>203.3699951171875</v>
      </c>
      <c r="D126" s="27">
        <v>62813.74609375</v>
      </c>
      <c r="E126" s="27">
        <v>371.54000854492188</v>
      </c>
      <c r="F126" s="27">
        <v>98.949996948242188</v>
      </c>
      <c r="G126" s="27">
        <v>91.407005310058594</v>
      </c>
      <c r="H126" s="28"/>
      <c r="I126" s="28"/>
      <c r="J126" s="28"/>
      <c r="K126" s="28"/>
      <c r="M126" s="45">
        <f t="shared" si="30"/>
        <v>46204</v>
      </c>
      <c r="N126" s="29">
        <f t="shared" si="31"/>
        <v>3.6024266173402264E-3</v>
      </c>
      <c r="O126" s="29">
        <f t="shared" si="32"/>
        <v>7.2659999941298459E-2</v>
      </c>
      <c r="P126" s="29">
        <f t="shared" si="33"/>
        <v>8.5781085298444193E-3</v>
      </c>
      <c r="Q126" s="29">
        <f t="shared" si="34"/>
        <v>2.6132911283742288E-2</v>
      </c>
      <c r="R126" s="29">
        <f t="shared" si="35"/>
        <v>3.3708385532478236E-3</v>
      </c>
      <c r="S126" s="29">
        <f t="shared" si="36"/>
        <v>0</v>
      </c>
      <c r="T126" s="29">
        <f t="shared" si="37"/>
        <v>0</v>
      </c>
      <c r="U126" s="29">
        <f t="shared" si="38"/>
        <v>0</v>
      </c>
      <c r="V126" s="29">
        <f t="shared" si="39"/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15"/>
  <sheetViews>
    <sheetView workbookViewId="0">
      <pane xSplit="1" ySplit="4" topLeftCell="B62" activePane="bottomRight" state="frozen"/>
      <selection pane="topRight"/>
      <selection pane="bottomLeft"/>
      <selection pane="bottomRight" activeCell="A54" sqref="A54:XFD54"/>
    </sheetView>
  </sheetViews>
  <sheetFormatPr baseColWidth="10" defaultColWidth="9.140625" defaultRowHeight="15" x14ac:dyDescent="0.25"/>
  <cols>
    <col min="1" max="1" width="3" style="35" customWidth="1"/>
    <col min="2" max="2" width="36" style="35" customWidth="1"/>
    <col min="3" max="13" width="13" style="35" customWidth="1"/>
  </cols>
  <sheetData>
    <row r="2" spans="2:9" ht="23.25" customHeight="1" x14ac:dyDescent="0.35">
      <c r="B2" s="1" t="s">
        <v>142</v>
      </c>
    </row>
    <row r="3" spans="2:9" x14ac:dyDescent="0.25">
      <c r="B3" s="2" t="s">
        <v>143</v>
      </c>
    </row>
    <row r="5" spans="2:9" x14ac:dyDescent="0.25">
      <c r="B5" s="50" t="s">
        <v>144</v>
      </c>
      <c r="C5" s="51"/>
      <c r="D5" s="51"/>
      <c r="E5" s="51"/>
      <c r="F5" s="51"/>
      <c r="G5" s="51"/>
      <c r="H5" s="51"/>
    </row>
    <row r="6" spans="2:9" x14ac:dyDescent="0.25">
      <c r="B6" s="10">
        <v>1</v>
      </c>
      <c r="C6" s="10" t="s">
        <v>56</v>
      </c>
      <c r="D6" s="30">
        <f>IFERROR(COUNT(Monatsdaten!$N$8:$N$126),0)</f>
        <v>119</v>
      </c>
      <c r="E6" s="31">
        <f>IFERROR(AVERAGE(Monatsdaten!$N$8:$N$126),0)</f>
        <v>1.1138249620238842E-2</v>
      </c>
      <c r="F6" s="31">
        <f ca="1">IFERROR(_xludf.STDEV.S(Monatsdaten!$N$8:$N$126),0)</f>
        <v>0</v>
      </c>
      <c r="G6" s="31">
        <f t="shared" ref="G6:G14" si="0">E6*12</f>
        <v>0.13365899544286611</v>
      </c>
      <c r="H6" s="31">
        <f t="shared" ref="H6:H14" ca="1" si="1">F6*SQRT(12)</f>
        <v>0</v>
      </c>
      <c r="I6" s="30">
        <f>N(Anlageuniversum!F6)</f>
        <v>1</v>
      </c>
    </row>
    <row r="7" spans="2:9" x14ac:dyDescent="0.25">
      <c r="B7" s="21">
        <v>2</v>
      </c>
      <c r="C7" s="21" t="s">
        <v>89</v>
      </c>
      <c r="D7" s="16">
        <f>IFERROR(COUNT(Monatsdaten!$O$8:$O$126),0)</f>
        <v>119</v>
      </c>
      <c r="E7" s="8">
        <f>IFERROR(AVERAGE(Monatsdaten!$O$8:$O$126),0)</f>
        <v>6.0889074960391802E-2</v>
      </c>
      <c r="F7" s="8">
        <f ca="1">IFERROR(_xludf.STDEV.S(Monatsdaten!$O$8:$O$126),0)</f>
        <v>0</v>
      </c>
      <c r="G7" s="8">
        <f t="shared" si="0"/>
        <v>0.7306688995247016</v>
      </c>
      <c r="H7" s="8">
        <f t="shared" ca="1" si="1"/>
        <v>0</v>
      </c>
      <c r="I7" s="16">
        <f>N(Anlageuniversum!F7)</f>
        <v>1</v>
      </c>
    </row>
    <row r="8" spans="2:9" x14ac:dyDescent="0.25">
      <c r="B8" s="21">
        <v>3</v>
      </c>
      <c r="C8" s="21" t="s">
        <v>90</v>
      </c>
      <c r="D8" s="16">
        <f>IFERROR(COUNT(Monatsdaten!$P$8:$P$126),0)</f>
        <v>119</v>
      </c>
      <c r="E8" s="8">
        <f>IFERROR(AVERAGE(Monatsdaten!$P$8:$P$126),0)</f>
        <v>1.0143481979272196E-2</v>
      </c>
      <c r="F8" s="8">
        <f ca="1">IFERROR(_xludf.STDEV.S(Monatsdaten!$P$8:$P$126),0)</f>
        <v>0</v>
      </c>
      <c r="G8" s="8">
        <f t="shared" si="0"/>
        <v>0.12172178375126635</v>
      </c>
      <c r="H8" s="8">
        <f t="shared" ca="1" si="1"/>
        <v>0</v>
      </c>
      <c r="I8" s="16">
        <f>N(Anlageuniversum!F8)</f>
        <v>1</v>
      </c>
    </row>
    <row r="9" spans="2:9" x14ac:dyDescent="0.25">
      <c r="B9" s="21">
        <v>4</v>
      </c>
      <c r="C9" s="21" t="s">
        <v>91</v>
      </c>
      <c r="D9" s="16">
        <f>IFERROR(COUNT(Monatsdaten!$Q$8:$Q$126),0)</f>
        <v>119</v>
      </c>
      <c r="E9" s="8">
        <f>IFERROR(AVERAGE(Monatsdaten!$Q$8:$Q$126),0)</f>
        <v>5.5386490032637587E-3</v>
      </c>
      <c r="F9" s="8">
        <f ca="1">IFERROR(_xludf.STDEV.S(Monatsdaten!$Q$8:$Q$126),0)</f>
        <v>0</v>
      </c>
      <c r="G9" s="8">
        <f t="shared" si="0"/>
        <v>6.6463788039165111E-2</v>
      </c>
      <c r="H9" s="8">
        <f t="shared" ca="1" si="1"/>
        <v>0</v>
      </c>
      <c r="I9" s="16">
        <f>N(Anlageuniversum!F9)</f>
        <v>1</v>
      </c>
    </row>
    <row r="10" spans="2:9" x14ac:dyDescent="0.25">
      <c r="B10" s="21">
        <v>5</v>
      </c>
      <c r="C10" s="21" t="s">
        <v>119</v>
      </c>
      <c r="D10" s="16">
        <f>IFERROR(COUNT(Monatsdaten!$S$8:$S$126),0)</f>
        <v>119</v>
      </c>
      <c r="E10" s="8">
        <f>IFERROR(AVERAGE(Monatsdaten!$S$8:$S$126),0)</f>
        <v>0</v>
      </c>
      <c r="F10" s="8">
        <f ca="1">IFERROR(_xludf.STDEV.S(Monatsdaten!$S$8:$S$126),0)</f>
        <v>0</v>
      </c>
      <c r="G10" s="8">
        <f t="shared" si="0"/>
        <v>0</v>
      </c>
      <c r="H10" s="8">
        <f t="shared" ca="1" si="1"/>
        <v>0</v>
      </c>
      <c r="I10" s="16">
        <f>N(Anlageuniversum!F10)</f>
        <v>0</v>
      </c>
    </row>
    <row r="11" spans="2:9" x14ac:dyDescent="0.25">
      <c r="B11" s="21">
        <v>6</v>
      </c>
      <c r="C11" s="21" t="s">
        <v>122</v>
      </c>
      <c r="D11" s="16">
        <f>IFERROR(COUNT(Monatsdaten!$T$8:$T$126),0)</f>
        <v>119</v>
      </c>
      <c r="E11" s="8">
        <f>IFERROR(AVERAGE(Monatsdaten!$T$8:$T$126),0)</f>
        <v>0</v>
      </c>
      <c r="F11" s="8">
        <f ca="1">IFERROR(_xludf.STDEV.S(Monatsdaten!$T$8:$T$126),0)</f>
        <v>0</v>
      </c>
      <c r="G11" s="8">
        <f t="shared" si="0"/>
        <v>0</v>
      </c>
      <c r="H11" s="8">
        <f t="shared" ca="1" si="1"/>
        <v>0</v>
      </c>
      <c r="I11" s="16">
        <f>N(Anlageuniversum!F11)</f>
        <v>0</v>
      </c>
    </row>
    <row r="12" spans="2:9" x14ac:dyDescent="0.25">
      <c r="B12" s="21">
        <v>7</v>
      </c>
      <c r="C12" s="21" t="s">
        <v>123</v>
      </c>
      <c r="D12" s="16">
        <f>IFERROR(COUNT(Monatsdaten!$U$8:$U$126),0)</f>
        <v>119</v>
      </c>
      <c r="E12" s="8">
        <f>IFERROR(AVERAGE(Monatsdaten!$U$8:$U$126),0)</f>
        <v>0</v>
      </c>
      <c r="F12" s="8">
        <f ca="1">IFERROR(_xludf.STDEV.S(Monatsdaten!$U$8:$U$126),0)</f>
        <v>0</v>
      </c>
      <c r="G12" s="8">
        <f t="shared" si="0"/>
        <v>0</v>
      </c>
      <c r="H12" s="8">
        <f t="shared" ca="1" si="1"/>
        <v>0</v>
      </c>
      <c r="I12" s="16">
        <f>N(Anlageuniversum!F12)</f>
        <v>0</v>
      </c>
    </row>
    <row r="13" spans="2:9" x14ac:dyDescent="0.25">
      <c r="B13" s="21">
        <v>8</v>
      </c>
      <c r="C13" s="21" t="s">
        <v>124</v>
      </c>
      <c r="D13" s="16">
        <f>IFERROR(COUNT(Monatsdaten!$V$8:$V$126),0)</f>
        <v>119</v>
      </c>
      <c r="E13" s="8">
        <f>IFERROR(AVERAGE(Monatsdaten!$V$8:$V$126),0)</f>
        <v>0</v>
      </c>
      <c r="F13" s="8">
        <f ca="1">IFERROR(_xludf.STDEV.S(Monatsdaten!$V$8:$V$126),0)</f>
        <v>0</v>
      </c>
      <c r="G13" s="8">
        <f t="shared" si="0"/>
        <v>0</v>
      </c>
      <c r="H13" s="8">
        <f t="shared" ca="1" si="1"/>
        <v>0</v>
      </c>
      <c r="I13" s="16">
        <f>N(Anlageuniversum!F13)</f>
        <v>0</v>
      </c>
    </row>
    <row r="14" spans="2:9" x14ac:dyDescent="0.25">
      <c r="B14" s="21">
        <v>9</v>
      </c>
      <c r="C14" s="21" t="s">
        <v>125</v>
      </c>
      <c r="D14" s="16">
        <f>IFERROR(COUNT(Monatsdaten!$R$8:$R$126),0)</f>
        <v>119</v>
      </c>
      <c r="E14" s="8">
        <f>IFERROR(AVERAGE(Monatsdaten!$R$8:$R$126),0)</f>
        <v>1.8645842702426142E-3</v>
      </c>
      <c r="F14" s="8">
        <f ca="1">IFERROR(_xludf.STDEV.S(Monatsdaten!$R$8:$R$126),0)</f>
        <v>0</v>
      </c>
      <c r="G14" s="8">
        <f t="shared" si="0"/>
        <v>2.2375011242911372E-2</v>
      </c>
      <c r="H14" s="8">
        <f t="shared" ca="1" si="1"/>
        <v>0</v>
      </c>
      <c r="I14" s="16">
        <f>N(Anlageuniversum!F14)</f>
        <v>0</v>
      </c>
    </row>
    <row r="16" spans="2:9" x14ac:dyDescent="0.25">
      <c r="B16" s="50" t="s">
        <v>145</v>
      </c>
      <c r="C16" s="51"/>
      <c r="D16" s="51"/>
      <c r="E16" s="51"/>
      <c r="F16" s="51"/>
    </row>
    <row r="17" spans="2:6" x14ac:dyDescent="0.25">
      <c r="C17" s="10" t="s">
        <v>56</v>
      </c>
      <c r="D17" s="10" t="s">
        <v>89</v>
      </c>
      <c r="E17" s="10" t="s">
        <v>90</v>
      </c>
      <c r="F17" s="10" t="s">
        <v>91</v>
      </c>
    </row>
    <row r="18" spans="2:6" x14ac:dyDescent="0.25">
      <c r="B18" s="3" t="s">
        <v>56</v>
      </c>
      <c r="C18" s="25">
        <v>1</v>
      </c>
      <c r="D18" s="25">
        <v>0.32462867983185423</v>
      </c>
      <c r="E18" s="25">
        <v>0.17894219708059231</v>
      </c>
      <c r="F18" s="25">
        <v>0.79917874075280326</v>
      </c>
    </row>
    <row r="19" spans="2:6" x14ac:dyDescent="0.25">
      <c r="B19" s="3" t="s">
        <v>89</v>
      </c>
      <c r="C19" s="25">
        <v>0.32462867983185423</v>
      </c>
      <c r="D19" s="25">
        <v>1</v>
      </c>
      <c r="E19" s="25">
        <v>8.239866326555785E-2</v>
      </c>
      <c r="F19" s="25">
        <v>0.24429989060367169</v>
      </c>
    </row>
    <row r="20" spans="2:6" x14ac:dyDescent="0.25">
      <c r="B20" s="3" t="s">
        <v>90</v>
      </c>
      <c r="C20" s="25">
        <v>0.17894219708059231</v>
      </c>
      <c r="D20" s="25">
        <v>8.239866326555785E-2</v>
      </c>
      <c r="E20" s="25">
        <v>1</v>
      </c>
      <c r="F20" s="25">
        <v>0.20987673386192141</v>
      </c>
    </row>
    <row r="21" spans="2:6" x14ac:dyDescent="0.25">
      <c r="B21" s="3" t="s">
        <v>91</v>
      </c>
      <c r="C21" s="25">
        <v>0.79917874075280326</v>
      </c>
      <c r="D21" s="25">
        <v>0.24429989060367169</v>
      </c>
      <c r="E21" s="25">
        <v>0.20987673386192141</v>
      </c>
      <c r="F21" s="25">
        <v>1</v>
      </c>
    </row>
    <row r="24" spans="2:6" x14ac:dyDescent="0.25">
      <c r="B24" s="50" t="s">
        <v>146</v>
      </c>
      <c r="C24" s="51"/>
      <c r="D24" s="51"/>
      <c r="E24" s="51"/>
      <c r="F24" s="51"/>
    </row>
    <row r="25" spans="2:6" x14ac:dyDescent="0.25">
      <c r="C25" s="10" t="s">
        <v>56</v>
      </c>
      <c r="D25" s="10" t="s">
        <v>89</v>
      </c>
      <c r="E25" s="10" t="s">
        <v>90</v>
      </c>
      <c r="F25" s="10" t="s">
        <v>91</v>
      </c>
    </row>
    <row r="26" spans="2:6" x14ac:dyDescent="0.25">
      <c r="B26" s="3" t="s">
        <v>56</v>
      </c>
      <c r="C26" s="46">
        <f>N(Anlageuniversum!$L$6)*N(Anlageuniversum!$L$6)*N(C18)</f>
        <v>2.2156190398544193E-2</v>
      </c>
      <c r="D26" s="46">
        <f>N(Anlageuniversum!$L$6)*N(Anlageuniversum!$L$7)*N(D18)</f>
        <v>3.5822514530071223E-2</v>
      </c>
      <c r="E26" s="46">
        <f>N(Anlageuniversum!$L$6)*N(Anlageuniversum!$L$8)*N(E18)</f>
        <v>4.0218556656494951E-3</v>
      </c>
      <c r="F26" s="46">
        <f>N(Anlageuniversum!$L$6)*N(Anlageuniversum!$L$9)*N(F18)</f>
        <v>2.0974572617413111E-2</v>
      </c>
    </row>
    <row r="27" spans="2:6" x14ac:dyDescent="0.25">
      <c r="B27" s="3" t="s">
        <v>89</v>
      </c>
      <c r="C27" s="46">
        <f>N(Anlageuniversum!$L$7)*N(Anlageuniversum!$L$6)*N(C19)</f>
        <v>3.5822514530071223E-2</v>
      </c>
      <c r="D27" s="46">
        <f>N(Anlageuniversum!$L$7)*N(Anlageuniversum!$L$7)*N(D19)</f>
        <v>0.54959563548237034</v>
      </c>
      <c r="E27" s="46">
        <f>N(Anlageuniversum!$L$7)*N(Anlageuniversum!$L$8)*N(E19)</f>
        <v>9.223759592675837E-3</v>
      </c>
      <c r="F27" s="46">
        <f>N(Anlageuniversum!$L$7)*N(Anlageuniversum!$L$9)*N(F19)</f>
        <v>3.1933503127937406E-2</v>
      </c>
    </row>
    <row r="28" spans="2:6" x14ac:dyDescent="0.25">
      <c r="B28" s="3" t="s">
        <v>90</v>
      </c>
      <c r="C28" s="46">
        <f>N(Anlageuniversum!$L$8)*N(Anlageuniversum!$L$6)*N(C20)</f>
        <v>4.0218556656494951E-3</v>
      </c>
      <c r="D28" s="46">
        <f>N(Anlageuniversum!$L$8)*N(Anlageuniversum!$L$7)*N(D20)</f>
        <v>9.223759592675837E-3</v>
      </c>
      <c r="E28" s="46">
        <f>N(Anlageuniversum!$L$8)*N(Anlageuniversum!$L$8)*N(E20)</f>
        <v>2.279986850381753E-2</v>
      </c>
      <c r="F28" s="46">
        <f>N(Anlageuniversum!$L$8)*N(Anlageuniversum!$L$9)*N(F20)</f>
        <v>5.5876876553599703E-3</v>
      </c>
    </row>
    <row r="29" spans="2:6" x14ac:dyDescent="0.25">
      <c r="B29" s="3" t="s">
        <v>91</v>
      </c>
      <c r="C29" s="46">
        <f>N(Anlageuniversum!$L$9)*N(Anlageuniversum!$L$6)*N(C21)</f>
        <v>2.0974572617413111E-2</v>
      </c>
      <c r="D29" s="46">
        <f>N(Anlageuniversum!$L$9)*N(Anlageuniversum!$L$7)*N(D21)</f>
        <v>3.1933503127937406E-2</v>
      </c>
      <c r="E29" s="46">
        <f>N(Anlageuniversum!$L$9)*N(Anlageuniversum!$L$8)*N(E21)</f>
        <v>5.5876876553599703E-3</v>
      </c>
      <c r="F29" s="46">
        <f>N(Anlageuniversum!$L$9)*N(Anlageuniversum!$L$9)*N(F21)</f>
        <v>3.1088753323727313E-2</v>
      </c>
    </row>
    <row r="31" spans="2:6" x14ac:dyDescent="0.25">
      <c r="B31" s="50" t="s">
        <v>147</v>
      </c>
      <c r="C31" s="51"/>
      <c r="D31" s="51"/>
      <c r="E31" s="51"/>
      <c r="F31" s="51"/>
    </row>
    <row r="32" spans="2:6" x14ac:dyDescent="0.25">
      <c r="C32" s="47">
        <f t="shared" ref="C32:F35" si="2">C26</f>
        <v>2.2156190398544193E-2</v>
      </c>
      <c r="D32" s="47">
        <f t="shared" si="2"/>
        <v>3.5822514530071223E-2</v>
      </c>
      <c r="E32" s="47">
        <f t="shared" si="2"/>
        <v>4.0218556656494951E-3</v>
      </c>
      <c r="F32" s="47">
        <f t="shared" si="2"/>
        <v>2.0974572617413111E-2</v>
      </c>
    </row>
    <row r="33" spans="2:6" x14ac:dyDescent="0.25">
      <c r="C33" s="47">
        <f t="shared" si="2"/>
        <v>3.5822514530071223E-2</v>
      </c>
      <c r="D33" s="47">
        <f t="shared" si="2"/>
        <v>0.54959563548237034</v>
      </c>
      <c r="E33" s="47">
        <f t="shared" si="2"/>
        <v>9.223759592675837E-3</v>
      </c>
      <c r="F33" s="47">
        <f t="shared" si="2"/>
        <v>3.1933503127937406E-2</v>
      </c>
    </row>
    <row r="34" spans="2:6" x14ac:dyDescent="0.25">
      <c r="C34" s="47">
        <f t="shared" si="2"/>
        <v>4.0218556656494951E-3</v>
      </c>
      <c r="D34" s="47">
        <f t="shared" si="2"/>
        <v>9.223759592675837E-3</v>
      </c>
      <c r="E34" s="47">
        <f t="shared" si="2"/>
        <v>2.279986850381753E-2</v>
      </c>
      <c r="F34" s="47">
        <f t="shared" si="2"/>
        <v>5.5876876553599703E-3</v>
      </c>
    </row>
    <row r="35" spans="2:6" x14ac:dyDescent="0.25">
      <c r="C35" s="47">
        <f t="shared" si="2"/>
        <v>2.0974572617413111E-2</v>
      </c>
      <c r="D35" s="47">
        <f t="shared" si="2"/>
        <v>3.1933503127937406E-2</v>
      </c>
      <c r="E35" s="47">
        <f t="shared" si="2"/>
        <v>5.5876876553599703E-3</v>
      </c>
      <c r="F35" s="47">
        <f t="shared" si="2"/>
        <v>3.1088753323727313E-2</v>
      </c>
    </row>
    <row r="37" spans="2:6" x14ac:dyDescent="0.25">
      <c r="B37" s="50" t="s">
        <v>148</v>
      </c>
      <c r="C37" s="51"/>
      <c r="D37" s="51"/>
      <c r="E37" s="51"/>
      <c r="F37" s="51"/>
    </row>
    <row r="38" spans="2:6" x14ac:dyDescent="0.25">
      <c r="B38" s="3" t="s">
        <v>149</v>
      </c>
      <c r="C38" s="48">
        <f>N('Single Investment'!C8)</f>
        <v>0.08</v>
      </c>
    </row>
    <row r="39" spans="2:6" x14ac:dyDescent="0.25">
      <c r="B39" s="3" t="s">
        <v>85</v>
      </c>
      <c r="C39" s="48">
        <f>N('Single Investment'!C9)</f>
        <v>0.1</v>
      </c>
    </row>
    <row r="40" spans="2:6" x14ac:dyDescent="0.25">
      <c r="B40" s="3" t="s">
        <v>150</v>
      </c>
      <c r="C40" s="48">
        <f>N('Single Investment'!C12)</f>
        <v>2.2499999999999999E-2</v>
      </c>
    </row>
    <row r="41" spans="2:6" x14ac:dyDescent="0.25">
      <c r="B41" s="3" t="s">
        <v>62</v>
      </c>
      <c r="C41" s="48">
        <f>N('Single Investment'!C13)</f>
        <v>0.02</v>
      </c>
    </row>
    <row r="42" spans="2:6" x14ac:dyDescent="0.25">
      <c r="B42" s="3" t="s">
        <v>151</v>
      </c>
      <c r="C42" s="48">
        <f>N('Single Investment'!C14)</f>
        <v>0.05</v>
      </c>
    </row>
    <row r="43" spans="2:6" x14ac:dyDescent="0.25">
      <c r="B43" s="3" t="s">
        <v>152</v>
      </c>
      <c r="C43" s="49">
        <f>N('Single Investment'!C15)</f>
        <v>0</v>
      </c>
    </row>
    <row r="45" spans="2:6" x14ac:dyDescent="0.25">
      <c r="B45" s="3" t="s">
        <v>67</v>
      </c>
      <c r="C45" s="8">
        <f>C38-C41</f>
        <v>0.06</v>
      </c>
    </row>
    <row r="46" spans="2:6" x14ac:dyDescent="0.25">
      <c r="B46" s="3" t="s">
        <v>153</v>
      </c>
      <c r="C46" s="8">
        <f>C40-C41</f>
        <v>2.4999999999999988E-3</v>
      </c>
    </row>
    <row r="47" spans="2:6" x14ac:dyDescent="0.25">
      <c r="B47" s="3" t="s">
        <v>154</v>
      </c>
      <c r="C47" s="8">
        <f>C42-C41</f>
        <v>3.0000000000000002E-2</v>
      </c>
    </row>
    <row r="48" spans="2:6" x14ac:dyDescent="0.25">
      <c r="B48" s="3" t="s">
        <v>155</v>
      </c>
      <c r="C48" s="8">
        <f>IF(C39&lt;=0,0,(C45-C46)/C39^2)</f>
        <v>5.7499999999999982</v>
      </c>
    </row>
    <row r="49" spans="2:6" x14ac:dyDescent="0.25">
      <c r="B49" s="3" t="s">
        <v>156</v>
      </c>
      <c r="C49" s="8">
        <f>IF(C39&lt;=0,0,(C45-C47)/C39^2)</f>
        <v>2.9999999999999991</v>
      </c>
    </row>
    <row r="50" spans="2:6" x14ac:dyDescent="0.25">
      <c r="B50" s="3" t="s">
        <v>68</v>
      </c>
      <c r="C50" s="8">
        <f>IF(C39&lt;=0,0,IF(C43&gt;=1,IF(C48&lt;=1,MAX(C48,0),IF(C49&gt;=1,C49,1)),MIN(MAX(C48,0),1)))</f>
        <v>1</v>
      </c>
    </row>
    <row r="51" spans="2:6" x14ac:dyDescent="0.25">
      <c r="B51" s="3" t="s">
        <v>157</v>
      </c>
      <c r="C51" s="8">
        <f>IF(C50&lt;=1,C46+C50*(C45-C46)-0.5*C50^2*C39^2,C47+C50*(C45-C47)-0.5*C50^2*C39^2)</f>
        <v>5.4999999999999993E-2</v>
      </c>
    </row>
    <row r="53" spans="2:6" x14ac:dyDescent="0.25">
      <c r="B53" s="50" t="s">
        <v>158</v>
      </c>
      <c r="C53" s="51"/>
      <c r="D53" s="51"/>
      <c r="E53" s="51"/>
      <c r="F53" s="51"/>
    </row>
    <row r="55" spans="2:6" x14ac:dyDescent="0.25">
      <c r="B55" s="3" t="s">
        <v>159</v>
      </c>
    </row>
    <row r="56" spans="2:6" x14ac:dyDescent="0.25">
      <c r="C56" s="32" t="s">
        <v>56</v>
      </c>
      <c r="D56" s="32" t="s">
        <v>89</v>
      </c>
      <c r="E56" s="32" t="s">
        <v>90</v>
      </c>
      <c r="F56" s="32" t="s">
        <v>91</v>
      </c>
    </row>
    <row r="57" spans="2:6" x14ac:dyDescent="0.25">
      <c r="C57" s="8">
        <f>N(Anlageuniversum!K6)-N(Anlageuniversum!$C$24)</f>
        <v>0.11128398419995474</v>
      </c>
      <c r="D57" s="8">
        <f>N(Anlageuniversum!K7)-N(Anlageuniversum!$C$24)</f>
        <v>0.70829388828178985</v>
      </c>
      <c r="E57" s="8">
        <f>N(Anlageuniversum!K8)-N(Anlageuniversum!$C$24)</f>
        <v>9.9346772508355025E-2</v>
      </c>
      <c r="F57" s="8">
        <f>N(Anlageuniversum!K9)-N(Anlageuniversum!$C$24)</f>
        <v>4.4088776796253684E-2</v>
      </c>
    </row>
    <row r="59" spans="2:6" x14ac:dyDescent="0.25">
      <c r="B59" s="3" t="s">
        <v>160</v>
      </c>
    </row>
    <row r="60" spans="2:6" x14ac:dyDescent="0.25">
      <c r="C60" s="47">
        <f>IFERROR(INDEX(MINVERSE($C$32:$F$35),1,1),0)</f>
        <v>131.41054793984364</v>
      </c>
      <c r="D60" s="47">
        <f>IFERROR(INDEX(MINVERSE($C$32:$F$35),1,2),0)</f>
        <v>-3.6242773309416192</v>
      </c>
      <c r="E60" s="47">
        <f>IFERROR(INDEX(MINVERSE($C$32:$F$35),1,3),0)</f>
        <v>-0.9401348197769378</v>
      </c>
      <c r="F60" s="47">
        <f>IFERROR(INDEX(MINVERSE($C$32:$F$35),1,4),0)</f>
        <v>-84.766700092667676</v>
      </c>
    </row>
    <row r="61" spans="2:6" x14ac:dyDescent="0.25">
      <c r="C61" s="47">
        <f>IFERROR(INDEX(MINVERSE($C$32:$F$35),2,1),0)</f>
        <v>-3.6242773309416187</v>
      </c>
      <c r="D61" s="47">
        <f>IFERROR(INDEX(MINVERSE($C$32:$F$35),2,2),0)</f>
        <v>2.0370500051473148</v>
      </c>
      <c r="E61" s="47">
        <f>IFERROR(INDEX(MINVERSE($C$32:$F$35),2,3),0)</f>
        <v>-0.2837351218099895</v>
      </c>
      <c r="F61" s="47">
        <f>IFERROR(INDEX(MINVERSE($C$32:$F$35),2,4),0)</f>
        <v>0.40377780540629227</v>
      </c>
    </row>
    <row r="62" spans="2:6" x14ac:dyDescent="0.25">
      <c r="C62" s="47">
        <f>IFERROR(INDEX(MINVERSE($C$32:$F$35),3,1),0)</f>
        <v>-0.94013481977693381</v>
      </c>
      <c r="D62" s="47">
        <f>IFERROR(INDEX(MINVERSE($C$32:$F$35),3,2),0)</f>
        <v>-0.28373512180998928</v>
      </c>
      <c r="E62" s="47">
        <f>IFERROR(INDEX(MINVERSE($C$32:$F$35),3,3),0)</f>
        <v>45.937102767076219</v>
      </c>
      <c r="F62" s="47">
        <f>IFERROR(INDEX(MINVERSE($C$32:$F$35),3,4),0)</f>
        <v>-7.3307088654874173</v>
      </c>
    </row>
    <row r="63" spans="2:6" x14ac:dyDescent="0.25">
      <c r="C63" s="47">
        <f>IFERROR(INDEX(MINVERSE($C$32:$F$35),4,1),0)</f>
        <v>-84.766700092667691</v>
      </c>
      <c r="D63" s="47">
        <f>IFERROR(INDEX(MINVERSE($C$32:$F$35),4,2),0)</f>
        <v>0.4037778054062926</v>
      </c>
      <c r="E63" s="47">
        <f>IFERROR(INDEX(MINVERSE($C$32:$F$35),4,3),0)</f>
        <v>-7.3307088654874146</v>
      </c>
      <c r="F63" s="47">
        <f>IFERROR(INDEX(MINVERSE($C$32:$F$35),4,4),0)</f>
        <v>90.258137694808823</v>
      </c>
    </row>
    <row r="65" spans="2:3" x14ac:dyDescent="0.25">
      <c r="B65" s="3" t="s">
        <v>161</v>
      </c>
    </row>
    <row r="66" spans="2:3" x14ac:dyDescent="0.25">
      <c r="B66" s="3" t="s">
        <v>56</v>
      </c>
      <c r="C66" s="8">
        <f>IFERROR(SUMPRODUCT(C60:F60,$C$57:$F$57),0)</f>
        <v>8.2261763774926031</v>
      </c>
    </row>
    <row r="67" spans="2:3" x14ac:dyDescent="0.25">
      <c r="B67" s="3" t="s">
        <v>89</v>
      </c>
      <c r="C67" s="8">
        <f>IFERROR(SUMPRODUCT(C61:F61,$C$57:$F$57),0)</f>
        <v>1.0291199484762219</v>
      </c>
    </row>
    <row r="68" spans="2:3" x14ac:dyDescent="0.25">
      <c r="B68" s="3" t="s">
        <v>90</v>
      </c>
      <c r="C68" s="8">
        <f>IFERROR(SUMPRODUCT(C62:F62,$C$57:$F$57),0)</f>
        <v>3.9349111102660661</v>
      </c>
    </row>
    <row r="69" spans="2:3" x14ac:dyDescent="0.25">
      <c r="B69" s="3" t="s">
        <v>91</v>
      </c>
      <c r="C69" s="8">
        <f>IFERROR(SUMPRODUCT(C63:F63,$C$57:$F$57),0)</f>
        <v>-5.896094141114224</v>
      </c>
    </row>
    <row r="71" spans="2:3" x14ac:dyDescent="0.25">
      <c r="B71" s="3" t="s">
        <v>162</v>
      </c>
      <c r="C71" s="8">
        <f>SUM(C66:C69)</f>
        <v>7.2941132951206669</v>
      </c>
    </row>
    <row r="73" spans="2:3" x14ac:dyDescent="0.25">
      <c r="B73" s="3" t="s">
        <v>163</v>
      </c>
    </row>
    <row r="74" spans="2:3" x14ac:dyDescent="0.25">
      <c r="B74" s="3" t="s">
        <v>56</v>
      </c>
      <c r="C74" s="8">
        <f>MAX(C66,0)</f>
        <v>8.2261763774926031</v>
      </c>
    </row>
    <row r="75" spans="2:3" x14ac:dyDescent="0.25">
      <c r="B75" s="3" t="s">
        <v>89</v>
      </c>
      <c r="C75" s="8">
        <f>MAX(C67,0)</f>
        <v>1.0291199484762219</v>
      </c>
    </row>
    <row r="76" spans="2:3" x14ac:dyDescent="0.25">
      <c r="B76" s="3" t="s">
        <v>90</v>
      </c>
      <c r="C76" s="8">
        <f>MAX(C68,0)</f>
        <v>3.9349111102660661</v>
      </c>
    </row>
    <row r="77" spans="2:3" x14ac:dyDescent="0.25">
      <c r="B77" s="3" t="s">
        <v>91</v>
      </c>
      <c r="C77" s="8">
        <f>MAX(C69,0)</f>
        <v>0</v>
      </c>
    </row>
    <row r="79" spans="2:3" x14ac:dyDescent="0.25">
      <c r="B79" s="3" t="s">
        <v>164</v>
      </c>
      <c r="C79" s="8">
        <f>SUM(C74:C77)</f>
        <v>13.190207436234891</v>
      </c>
    </row>
    <row r="80" spans="2:3" x14ac:dyDescent="0.25">
      <c r="B80" s="3" t="s">
        <v>152</v>
      </c>
      <c r="C80" s="4">
        <f>N(Anlageuniversum!C27)</f>
        <v>0</v>
      </c>
    </row>
    <row r="82" spans="2:3" x14ac:dyDescent="0.25">
      <c r="B82" s="3" t="s">
        <v>56</v>
      </c>
      <c r="C82" s="8">
        <f>IF($C$80&gt;=1,C74,IF($C$79&lt;=0,0,IF($C$79&gt;1,C74/$C$79,C74)))</f>
        <v>0.62365784747967112</v>
      </c>
    </row>
    <row r="83" spans="2:3" x14ac:dyDescent="0.25">
      <c r="B83" s="3" t="s">
        <v>89</v>
      </c>
      <c r="C83" s="8">
        <f>IF($C$80&gt;=1,C75,IF($C$79&lt;=0,0,IF($C$79&gt;1,C75/$C$79,C75)))</f>
        <v>7.80215135699171E-2</v>
      </c>
    </row>
    <row r="84" spans="2:3" x14ac:dyDescent="0.25">
      <c r="B84" s="3" t="s">
        <v>90</v>
      </c>
      <c r="C84" s="8">
        <f>IF($C$80&gt;=1,C76,IF($C$79&lt;=0,0,IF($C$79&gt;1,C76/$C$79,C76)))</f>
        <v>0.29832063895041183</v>
      </c>
    </row>
    <row r="85" spans="2:3" x14ac:dyDescent="0.25">
      <c r="B85" s="3" t="s">
        <v>91</v>
      </c>
      <c r="C85" s="8">
        <f>IF($C$80&gt;=1,C77,IF($C$79&lt;=0,0,IF($C$79&gt;1,C77/$C$79,C77)))</f>
        <v>0</v>
      </c>
    </row>
    <row r="87" spans="2:3" x14ac:dyDescent="0.25">
      <c r="B87" s="3" t="s">
        <v>165</v>
      </c>
      <c r="C87" s="8">
        <f>SUM(C82:C85)</f>
        <v>1</v>
      </c>
    </row>
    <row r="88" spans="2:3" x14ac:dyDescent="0.25">
      <c r="B88" s="3" t="s">
        <v>166</v>
      </c>
      <c r="C88" s="8">
        <f>1-C87</f>
        <v>0</v>
      </c>
    </row>
    <row r="90" spans="2:3" x14ac:dyDescent="0.25">
      <c r="B90" s="3" t="s">
        <v>81</v>
      </c>
      <c r="C90" s="11">
        <f>N(Anlageuniversum!C30)</f>
        <v>0.5</v>
      </c>
    </row>
    <row r="91" spans="2:3" x14ac:dyDescent="0.25">
      <c r="B91" s="3" t="s">
        <v>87</v>
      </c>
    </row>
    <row r="92" spans="2:3" x14ac:dyDescent="0.25">
      <c r="B92" s="33" t="s">
        <v>56</v>
      </c>
      <c r="C92" s="8">
        <f>C82*$C$90</f>
        <v>0.31182892373983556</v>
      </c>
    </row>
    <row r="93" spans="2:3" x14ac:dyDescent="0.25">
      <c r="B93" s="33" t="s">
        <v>89</v>
      </c>
      <c r="C93" s="8">
        <f>C83*$C$90</f>
        <v>3.901075678495855E-2</v>
      </c>
    </row>
    <row r="94" spans="2:3" x14ac:dyDescent="0.25">
      <c r="B94" s="33" t="s">
        <v>90</v>
      </c>
      <c r="C94" s="8">
        <f>C84*$C$90</f>
        <v>0.14916031947520592</v>
      </c>
    </row>
    <row r="95" spans="2:3" x14ac:dyDescent="0.25">
      <c r="B95" s="33" t="s">
        <v>91</v>
      </c>
      <c r="C95" s="8">
        <f>C85*$C$90</f>
        <v>0</v>
      </c>
    </row>
    <row r="97" spans="2:5" x14ac:dyDescent="0.25">
      <c r="B97" s="3" t="s">
        <v>167</v>
      </c>
      <c r="C97" s="8">
        <f>SUM(C92:C95)</f>
        <v>0.5</v>
      </c>
    </row>
    <row r="98" spans="2:5" x14ac:dyDescent="0.25">
      <c r="B98" s="3" t="s">
        <v>168</v>
      </c>
      <c r="C98" s="8">
        <f>1-C97</f>
        <v>0.5</v>
      </c>
    </row>
    <row r="100" spans="2:5" x14ac:dyDescent="0.25">
      <c r="B100" s="3" t="s">
        <v>169</v>
      </c>
      <c r="C100" s="8">
        <f>SUMPRODUCT(C92:C95,Anlageuniversum!K6:K9)+C98*N(Anlageuniversum!C24)</f>
        <v>9.9526253199674466E-2</v>
      </c>
    </row>
    <row r="101" spans="2:5" x14ac:dyDescent="0.25">
      <c r="B101" s="3" t="s">
        <v>170</v>
      </c>
      <c r="C101" s="8">
        <f>IFERROR(SQRT(C92*(C92*C32+C93*D32+C94*E32+C95*F32)+C93*(C92*C33+C93*D33+C94*E33+C95*F33)+C94*(C92*C34+C93*D34+C94*E34+C95*F34)+C95*(C92*C35+C93*D35+C94*E35+C95*F35)),0)</f>
        <v>6.9649760629820173E-2</v>
      </c>
    </row>
    <row r="103" spans="2:5" x14ac:dyDescent="0.25">
      <c r="B103" s="3" t="s">
        <v>171</v>
      </c>
      <c r="C103" s="15">
        <f>N(Anlageuniversum!C28)*EXP((C100-0.5*C101^2)*N(Anlageuniversum!C29))</f>
        <v>132030.12175215766</v>
      </c>
    </row>
    <row r="104" spans="2:5" x14ac:dyDescent="0.25">
      <c r="B104" s="3" t="s">
        <v>75</v>
      </c>
      <c r="C104" s="15">
        <f>C103/(1+N(Anlageuniversum!C25))^N(Anlageuniversum!C29)</f>
        <v>108310.6859116923</v>
      </c>
    </row>
    <row r="106" spans="2:5" x14ac:dyDescent="0.25">
      <c r="B106" s="50" t="s">
        <v>172</v>
      </c>
      <c r="C106" s="51"/>
      <c r="D106" s="51"/>
      <c r="E106" s="51"/>
    </row>
    <row r="107" spans="2:5" x14ac:dyDescent="0.25">
      <c r="B107" s="10" t="s">
        <v>54</v>
      </c>
      <c r="C107" s="10" t="s">
        <v>173</v>
      </c>
      <c r="D107" s="10" t="s">
        <v>59</v>
      </c>
      <c r="E107" s="10" t="s">
        <v>174</v>
      </c>
    </row>
    <row r="108" spans="2:5" x14ac:dyDescent="0.25">
      <c r="B108" s="36" t="s">
        <v>56</v>
      </c>
      <c r="C108" s="8">
        <v>0.13365899544286611</v>
      </c>
      <c r="D108" s="8">
        <v>0.14884955625914439</v>
      </c>
      <c r="E108" s="4">
        <v>119</v>
      </c>
    </row>
    <row r="109" spans="2:5" x14ac:dyDescent="0.25">
      <c r="B109" s="36" t="s">
        <v>89</v>
      </c>
      <c r="C109" s="8">
        <v>0.73066889952470127</v>
      </c>
      <c r="D109" s="8">
        <v>0.74134717608039102</v>
      </c>
      <c r="E109" s="4">
        <v>119</v>
      </c>
    </row>
    <row r="110" spans="2:5" x14ac:dyDescent="0.25">
      <c r="B110" s="36" t="s">
        <v>90</v>
      </c>
      <c r="C110" s="8">
        <v>0.1217217837512664</v>
      </c>
      <c r="D110" s="8">
        <v>0.15099625327741589</v>
      </c>
      <c r="E110" s="4">
        <v>119</v>
      </c>
    </row>
    <row r="111" spans="2:5" x14ac:dyDescent="0.25">
      <c r="B111" s="36" t="s">
        <v>91</v>
      </c>
      <c r="C111" s="8">
        <v>6.6463788039165056E-2</v>
      </c>
      <c r="D111" s="8">
        <v>0.1763200309769917</v>
      </c>
      <c r="E111" s="4">
        <v>119</v>
      </c>
    </row>
    <row r="112" spans="2:5" x14ac:dyDescent="0.25">
      <c r="B112" s="36" t="s">
        <v>125</v>
      </c>
      <c r="C112" s="8">
        <v>2.2375011242911368E-2</v>
      </c>
      <c r="D112" s="8">
        <v>5.6023619144526544E-3</v>
      </c>
      <c r="E112" s="4">
        <v>119</v>
      </c>
    </row>
    <row r="115" spans="2:2" x14ac:dyDescent="0.25">
      <c r="B115" s="5" t="s">
        <v>51</v>
      </c>
    </row>
  </sheetData>
  <mergeCells count="7">
    <mergeCell ref="B5:H5"/>
    <mergeCell ref="B53:F53"/>
    <mergeCell ref="B24:F24"/>
    <mergeCell ref="B16:F16"/>
    <mergeCell ref="B106:E106"/>
    <mergeCell ref="B37:F37"/>
    <mergeCell ref="B31:F31"/>
  </mergeCells>
  <hyperlinks>
    <hyperlink ref="B115" location="'Start'!A1" display="→ Start" xr:uid="{00000000-0004-0000-0600-000000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Start</vt:lpstr>
      <vt:lpstr>Klassisches Kelly</vt:lpstr>
      <vt:lpstr>Single Investment</vt:lpstr>
      <vt:lpstr>Portfolio</vt:lpstr>
      <vt:lpstr>Anlageuniversum</vt:lpstr>
      <vt:lpstr>Monatsdaten</vt:lpstr>
      <vt:lpstr>Berechnungen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Simon Stark</cp:lastModifiedBy>
  <dcterms:created xsi:type="dcterms:W3CDTF">2026-08-07T12:29:43Z</dcterms:created>
  <dcterms:modified xsi:type="dcterms:W3CDTF">2026-08-07T12:37:44Z</dcterms:modified>
</cp:coreProperties>
</file>