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4.xml" ContentType="application/vnd.openxmlformats-officedocument.drawingml.chart+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imon\Desktop\Project DoubleUp\Exceldatein\Immobilientool\"/>
    </mc:Choice>
  </mc:AlternateContent>
  <xr:revisionPtr revIDLastSave="0" documentId="13_ncr:1_{A4A8FDED-2C00-48C5-B663-164B4B511AE5}" xr6:coauthVersionLast="47" xr6:coauthVersionMax="47" xr10:uidLastSave="{00000000-0000-0000-0000-000000000000}"/>
  <bookViews>
    <workbookView xWindow="-120" yWindow="-120" windowWidth="29040" windowHeight="15720" xr2:uid="{00000000-000D-0000-FFFF-FFFF00000000}"/>
  </bookViews>
  <sheets>
    <sheet name="Dashboard" sheetId="1" r:id="rId1"/>
    <sheet name="Property Calculator" sheetId="2" r:id="rId2"/>
    <sheet name="HOA" sheetId="11" r:id="rId3"/>
    <sheet name="CapEx" sheetId="12" r:id="rId4"/>
    <sheet name="Sensitivity" sheetId="13" r:id="rId5"/>
    <sheet name="Scenarios" sheetId="3" r:id="rId6"/>
    <sheet name="Interest Rate Test" sheetId="4" r:id="rId7"/>
    <sheet name="Exit Analysis" sheetId="5" r:id="rId8"/>
    <sheet name="Equity Optimization" sheetId="6" r:id="rId9"/>
    <sheet name="Real Value Analysis" sheetId="7" r:id="rId10"/>
    <sheet name="Amortization Schedule" sheetId="8" r:id="rId11"/>
    <sheet name="Return Details" sheetId="9" r:id="rId12"/>
    <sheet name="Model Notes" sheetId="10" r:id="rId1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4" i="1" l="1"/>
  <c r="G14" i="1"/>
  <c r="B14" i="1"/>
  <c r="H10" i="1"/>
  <c r="F10" i="1"/>
  <c r="D10" i="1"/>
  <c r="C10" i="1"/>
  <c r="B10" i="1"/>
  <c r="G6" i="1"/>
  <c r="F6" i="1"/>
  <c r="E6" i="1"/>
  <c r="C6" i="1"/>
  <c r="B6" i="1"/>
  <c r="F29" i="13"/>
  <c r="E29" i="13"/>
  <c r="D29" i="13"/>
  <c r="C29" i="13"/>
  <c r="F28" i="13"/>
  <c r="E28" i="13"/>
  <c r="D28" i="13"/>
  <c r="C28" i="13"/>
  <c r="F27" i="13"/>
  <c r="E27" i="13"/>
  <c r="D27" i="13"/>
  <c r="C27" i="13"/>
  <c r="F26" i="13"/>
  <c r="E26" i="13"/>
  <c r="D26" i="13"/>
  <c r="C26" i="13"/>
  <c r="F25" i="13"/>
  <c r="E25" i="13"/>
  <c r="D25" i="13"/>
  <c r="C25" i="13"/>
  <c r="G20" i="13"/>
  <c r="F20" i="13"/>
  <c r="E20" i="13"/>
  <c r="D20" i="13"/>
  <c r="C20" i="13"/>
  <c r="G19" i="13"/>
  <c r="F19" i="13"/>
  <c r="E19" i="13"/>
  <c r="D19" i="13"/>
  <c r="C19" i="13"/>
  <c r="G18" i="13"/>
  <c r="F18" i="13"/>
  <c r="E18" i="13"/>
  <c r="D18" i="13"/>
  <c r="C18" i="13"/>
  <c r="G17" i="13"/>
  <c r="F17" i="13"/>
  <c r="E17" i="13"/>
  <c r="D17" i="13"/>
  <c r="C17" i="13"/>
  <c r="G16" i="13"/>
  <c r="F16" i="13"/>
  <c r="E16" i="13"/>
  <c r="D16" i="13"/>
  <c r="C16" i="13"/>
  <c r="F11" i="13"/>
  <c r="E11" i="13"/>
  <c r="D11" i="13"/>
  <c r="C11" i="13"/>
  <c r="F10" i="13"/>
  <c r="E10" i="13"/>
  <c r="D10" i="13"/>
  <c r="C10" i="13"/>
  <c r="F9" i="13"/>
  <c r="E9" i="13"/>
  <c r="D9" i="13"/>
  <c r="C9" i="13"/>
  <c r="F8" i="13"/>
  <c r="E8" i="13"/>
  <c r="D8" i="13"/>
  <c r="C8" i="13"/>
  <c r="F7" i="13"/>
  <c r="E7" i="13"/>
  <c r="D7" i="13"/>
  <c r="C7" i="13"/>
  <c r="BA29" i="2"/>
  <c r="BA28" i="2"/>
  <c r="BA27" i="2"/>
  <c r="BA26" i="2"/>
  <c r="BA25" i="2"/>
  <c r="BE24" i="2"/>
  <c r="BD24" i="2"/>
  <c r="BC24" i="2"/>
  <c r="BB24" i="2"/>
  <c r="BA20" i="2"/>
  <c r="BA19" i="2"/>
  <c r="BA18" i="2"/>
  <c r="BA17" i="2"/>
  <c r="BA16" i="2"/>
  <c r="BF15" i="2"/>
  <c r="BE15" i="2"/>
  <c r="BD15" i="2"/>
  <c r="BC15" i="2"/>
  <c r="BB15" i="2"/>
  <c r="BA11" i="2"/>
  <c r="BA10" i="2"/>
  <c r="BA9" i="2"/>
  <c r="BA8" i="2"/>
  <c r="BA7" i="2"/>
  <c r="BE6" i="2"/>
  <c r="BD6" i="2"/>
  <c r="BC6" i="2"/>
  <c r="BB6" i="2"/>
  <c r="B53" i="5"/>
  <c r="B52" i="5" s="1"/>
  <c r="B13" i="2" s="1"/>
  <c r="B4" i="5" s="1"/>
  <c r="C52" i="12"/>
  <c r="B52" i="12"/>
  <c r="C51" i="12"/>
  <c r="B51" i="12"/>
  <c r="C50" i="12"/>
  <c r="B50" i="12"/>
  <c r="C49" i="12"/>
  <c r="B49" i="12"/>
  <c r="C48" i="12"/>
  <c r="B48" i="12"/>
  <c r="C47" i="12"/>
  <c r="B47" i="12"/>
  <c r="C46" i="12"/>
  <c r="B46" i="12"/>
  <c r="C45" i="12"/>
  <c r="B45" i="12"/>
  <c r="C44" i="12"/>
  <c r="B44" i="12"/>
  <c r="C43" i="12"/>
  <c r="B43" i="12"/>
  <c r="C42" i="12"/>
  <c r="B42" i="12"/>
  <c r="C41" i="12"/>
  <c r="B41" i="12"/>
  <c r="C40" i="12"/>
  <c r="B40" i="12"/>
  <c r="C39" i="12"/>
  <c r="B39" i="12"/>
  <c r="C38" i="12"/>
  <c r="B38" i="12"/>
  <c r="C37" i="12"/>
  <c r="B37" i="12"/>
  <c r="C36" i="12"/>
  <c r="B36" i="12"/>
  <c r="C35" i="12"/>
  <c r="B35" i="12"/>
  <c r="C34" i="12"/>
  <c r="B34" i="12"/>
  <c r="C33" i="12"/>
  <c r="B33" i="12"/>
  <c r="C32" i="12"/>
  <c r="B32" i="12"/>
  <c r="C31" i="12"/>
  <c r="B31" i="12"/>
  <c r="C30" i="12"/>
  <c r="B30" i="12"/>
  <c r="C29" i="12"/>
  <c r="B29" i="12"/>
  <c r="C28" i="12"/>
  <c r="B28" i="12"/>
  <c r="C27" i="12"/>
  <c r="B27" i="12"/>
  <c r="C26" i="12"/>
  <c r="B26" i="12"/>
  <c r="C25" i="12"/>
  <c r="B25" i="12"/>
  <c r="C24" i="12"/>
  <c r="B24" i="12"/>
  <c r="C23" i="12"/>
  <c r="B23" i="12"/>
  <c r="B18" i="12"/>
  <c r="D51" i="12" s="1"/>
  <c r="B17" i="12"/>
  <c r="B16" i="12"/>
  <c r="H6" i="1" s="1"/>
  <c r="B31" i="11"/>
  <c r="G26" i="1" s="1"/>
  <c r="B25" i="11"/>
  <c r="B26" i="11" s="1"/>
  <c r="B16" i="11"/>
  <c r="B13" i="11"/>
  <c r="B14" i="11" s="1"/>
  <c r="B12" i="11"/>
  <c r="B8" i="11"/>
  <c r="H26" i="1" s="1"/>
  <c r="B7" i="11"/>
  <c r="B5" i="6"/>
  <c r="N34" i="9"/>
  <c r="L34" i="9"/>
  <c r="K34" i="9"/>
  <c r="I34" i="9"/>
  <c r="H34" i="9"/>
  <c r="F34" i="9"/>
  <c r="E34" i="9"/>
  <c r="C34" i="9"/>
  <c r="B34" i="9"/>
  <c r="N33" i="9"/>
  <c r="L33" i="9"/>
  <c r="K33" i="9"/>
  <c r="I33" i="9"/>
  <c r="H33" i="9"/>
  <c r="F33" i="9"/>
  <c r="E33" i="9"/>
  <c r="C33" i="9"/>
  <c r="B33" i="9"/>
  <c r="N32" i="9"/>
  <c r="L32" i="9"/>
  <c r="K32" i="9"/>
  <c r="I32" i="9"/>
  <c r="H32" i="9"/>
  <c r="F32" i="9"/>
  <c r="E32" i="9"/>
  <c r="C32" i="9"/>
  <c r="B32" i="9"/>
  <c r="N31" i="9"/>
  <c r="L31" i="9"/>
  <c r="K31" i="9"/>
  <c r="I31" i="9"/>
  <c r="H31" i="9"/>
  <c r="F31" i="9"/>
  <c r="E31" i="9"/>
  <c r="C31" i="9"/>
  <c r="B31" i="9"/>
  <c r="N30" i="9"/>
  <c r="L30" i="9"/>
  <c r="K30" i="9"/>
  <c r="I30" i="9"/>
  <c r="H30" i="9"/>
  <c r="F30" i="9"/>
  <c r="E30" i="9"/>
  <c r="C30" i="9"/>
  <c r="B30" i="9"/>
  <c r="N29" i="9"/>
  <c r="L29" i="9"/>
  <c r="K29" i="9"/>
  <c r="I29" i="9"/>
  <c r="H29" i="9"/>
  <c r="F29" i="9"/>
  <c r="E29" i="9"/>
  <c r="C29" i="9"/>
  <c r="B29" i="9"/>
  <c r="N28" i="9"/>
  <c r="L28" i="9"/>
  <c r="K28" i="9"/>
  <c r="I28" i="9"/>
  <c r="H28" i="9"/>
  <c r="F28" i="9"/>
  <c r="E28" i="9"/>
  <c r="C28" i="9"/>
  <c r="B28" i="9"/>
  <c r="N27" i="9"/>
  <c r="L27" i="9"/>
  <c r="K27" i="9"/>
  <c r="I27" i="9"/>
  <c r="H27" i="9"/>
  <c r="F27" i="9"/>
  <c r="E27" i="9"/>
  <c r="C27" i="9"/>
  <c r="B27" i="9"/>
  <c r="N26" i="9"/>
  <c r="L26" i="9"/>
  <c r="K26" i="9"/>
  <c r="I26" i="9"/>
  <c r="H26" i="9"/>
  <c r="F26" i="9"/>
  <c r="E26" i="9"/>
  <c r="C26" i="9"/>
  <c r="B26" i="9"/>
  <c r="N25" i="9"/>
  <c r="L25" i="9"/>
  <c r="K25" i="9"/>
  <c r="I25" i="9"/>
  <c r="H25" i="9"/>
  <c r="F25" i="9"/>
  <c r="E25" i="9"/>
  <c r="C25" i="9"/>
  <c r="B25" i="9"/>
  <c r="N24" i="9"/>
  <c r="L24" i="9"/>
  <c r="K24" i="9"/>
  <c r="I24" i="9"/>
  <c r="H24" i="9"/>
  <c r="F24" i="9"/>
  <c r="E24" i="9"/>
  <c r="C24" i="9"/>
  <c r="B24" i="9"/>
  <c r="N23" i="9"/>
  <c r="L23" i="9"/>
  <c r="K23" i="9"/>
  <c r="I23" i="9"/>
  <c r="H23" i="9"/>
  <c r="F23" i="9"/>
  <c r="E23" i="9"/>
  <c r="C23" i="9"/>
  <c r="B23" i="9"/>
  <c r="N22" i="9"/>
  <c r="L22" i="9"/>
  <c r="K22" i="9"/>
  <c r="I22" i="9"/>
  <c r="H22" i="9"/>
  <c r="F22" i="9"/>
  <c r="E22" i="9"/>
  <c r="C22" i="9"/>
  <c r="B22" i="9"/>
  <c r="N21" i="9"/>
  <c r="L21" i="9"/>
  <c r="K21" i="9"/>
  <c r="I21" i="9"/>
  <c r="H21" i="9"/>
  <c r="F21" i="9"/>
  <c r="E21" i="9"/>
  <c r="C21" i="9"/>
  <c r="B21" i="9"/>
  <c r="N20" i="9"/>
  <c r="L20" i="9"/>
  <c r="K20" i="9"/>
  <c r="I20" i="9"/>
  <c r="H20" i="9"/>
  <c r="F20" i="9"/>
  <c r="E20" i="9"/>
  <c r="C20" i="9"/>
  <c r="B20" i="9"/>
  <c r="N19" i="9"/>
  <c r="L19" i="9"/>
  <c r="K19" i="9"/>
  <c r="I19" i="9"/>
  <c r="H19" i="9"/>
  <c r="F19" i="9"/>
  <c r="E19" i="9"/>
  <c r="C19" i="9"/>
  <c r="B19" i="9"/>
  <c r="N18" i="9"/>
  <c r="L18" i="9"/>
  <c r="K18" i="9"/>
  <c r="I18" i="9"/>
  <c r="H18" i="9"/>
  <c r="F18" i="9"/>
  <c r="E18" i="9"/>
  <c r="C18" i="9"/>
  <c r="B18" i="9"/>
  <c r="N17" i="9"/>
  <c r="L17" i="9"/>
  <c r="K17" i="9"/>
  <c r="I17" i="9"/>
  <c r="H17" i="9"/>
  <c r="F17" i="9"/>
  <c r="E17" i="9"/>
  <c r="C17" i="9"/>
  <c r="B17" i="9"/>
  <c r="N16" i="9"/>
  <c r="L16" i="9"/>
  <c r="K16" i="9"/>
  <c r="I16" i="9"/>
  <c r="H16" i="9"/>
  <c r="F16" i="9"/>
  <c r="E16" i="9"/>
  <c r="C16" i="9"/>
  <c r="B16" i="9"/>
  <c r="N15" i="9"/>
  <c r="L15" i="9"/>
  <c r="K15" i="9"/>
  <c r="I15" i="9"/>
  <c r="H15" i="9"/>
  <c r="F15" i="9"/>
  <c r="E15" i="9"/>
  <c r="C15" i="9"/>
  <c r="B15" i="9"/>
  <c r="L14" i="9"/>
  <c r="K14" i="9"/>
  <c r="L13" i="9"/>
  <c r="K13" i="9"/>
  <c r="I13" i="9"/>
  <c r="F13" i="9"/>
  <c r="C13" i="9"/>
  <c r="L12" i="9"/>
  <c r="K12" i="9"/>
  <c r="I12" i="9"/>
  <c r="F12" i="9"/>
  <c r="C12" i="9"/>
  <c r="L11" i="9"/>
  <c r="K11" i="9"/>
  <c r="I11" i="9"/>
  <c r="F11" i="9"/>
  <c r="C11" i="9"/>
  <c r="L10" i="9"/>
  <c r="K10" i="9"/>
  <c r="I10" i="9"/>
  <c r="F10" i="9"/>
  <c r="C10" i="9"/>
  <c r="L9" i="9"/>
  <c r="K9" i="9"/>
  <c r="I9" i="9"/>
  <c r="F9" i="9"/>
  <c r="C9" i="9"/>
  <c r="L8" i="9"/>
  <c r="K8" i="9"/>
  <c r="I8" i="9"/>
  <c r="F8" i="9"/>
  <c r="C8" i="9"/>
  <c r="L7" i="9"/>
  <c r="K7" i="9"/>
  <c r="I7" i="9"/>
  <c r="F7" i="9"/>
  <c r="C7" i="9"/>
  <c r="L6" i="9"/>
  <c r="K6" i="9"/>
  <c r="I6" i="9"/>
  <c r="F6" i="9"/>
  <c r="C6" i="9"/>
  <c r="L5" i="9"/>
  <c r="K5" i="9"/>
  <c r="I5" i="9"/>
  <c r="F5" i="9"/>
  <c r="C5" i="9"/>
  <c r="L4" i="9"/>
  <c r="K4" i="9"/>
  <c r="J4" i="9"/>
  <c r="G4" i="9"/>
  <c r="D4" i="9"/>
  <c r="I603" i="8"/>
  <c r="D603" i="8"/>
  <c r="F603" i="8" s="1"/>
  <c r="C603" i="8"/>
  <c r="B603" i="8"/>
  <c r="I602" i="8"/>
  <c r="D602" i="8"/>
  <c r="E602" i="8" s="1"/>
  <c r="C602" i="8"/>
  <c r="B602" i="8"/>
  <c r="I601" i="8"/>
  <c r="D601" i="8"/>
  <c r="J601" i="8" s="1"/>
  <c r="C601" i="8"/>
  <c r="B601" i="8"/>
  <c r="I600" i="8"/>
  <c r="D600" i="8"/>
  <c r="C600" i="8"/>
  <c r="B600" i="8"/>
  <c r="I599" i="8"/>
  <c r="D599" i="8"/>
  <c r="E599" i="8" s="1"/>
  <c r="C599" i="8"/>
  <c r="B599" i="8"/>
  <c r="I598" i="8"/>
  <c r="D598" i="8"/>
  <c r="J598" i="8" s="1"/>
  <c r="C598" i="8"/>
  <c r="B598" i="8"/>
  <c r="I597" i="8"/>
  <c r="D597" i="8"/>
  <c r="F597" i="8" s="1"/>
  <c r="C597" i="8"/>
  <c r="B597" i="8"/>
  <c r="I596" i="8"/>
  <c r="D596" i="8"/>
  <c r="E596" i="8" s="1"/>
  <c r="C596" i="8"/>
  <c r="B596" i="8"/>
  <c r="I595" i="8"/>
  <c r="D595" i="8"/>
  <c r="J595" i="8" s="1"/>
  <c r="C595" i="8"/>
  <c r="B595" i="8"/>
  <c r="I594" i="8"/>
  <c r="D594" i="8"/>
  <c r="F594" i="8" s="1"/>
  <c r="C594" i="8"/>
  <c r="B594" i="8"/>
  <c r="I593" i="8"/>
  <c r="D593" i="8"/>
  <c r="E593" i="8" s="1"/>
  <c r="C593" i="8"/>
  <c r="B593" i="8"/>
  <c r="I592" i="8"/>
  <c r="D592" i="8"/>
  <c r="C592" i="8"/>
  <c r="B592" i="8"/>
  <c r="I591" i="8"/>
  <c r="D591" i="8"/>
  <c r="C591" i="8"/>
  <c r="B591" i="8"/>
  <c r="I590" i="8"/>
  <c r="D590" i="8"/>
  <c r="E590" i="8" s="1"/>
  <c r="C590" i="8"/>
  <c r="B590" i="8"/>
  <c r="I589" i="8"/>
  <c r="D589" i="8"/>
  <c r="J589" i="8" s="1"/>
  <c r="C589" i="8"/>
  <c r="B589" i="8"/>
  <c r="I588" i="8"/>
  <c r="D588" i="8"/>
  <c r="C588" i="8"/>
  <c r="B588" i="8"/>
  <c r="I587" i="8"/>
  <c r="D587" i="8"/>
  <c r="E587" i="8" s="1"/>
  <c r="C587" i="8"/>
  <c r="B587" i="8"/>
  <c r="I586" i="8"/>
  <c r="D586" i="8"/>
  <c r="C586" i="8"/>
  <c r="B586" i="8"/>
  <c r="I585" i="8"/>
  <c r="D585" i="8"/>
  <c r="C585" i="8"/>
  <c r="B585" i="8"/>
  <c r="I584" i="8"/>
  <c r="D584" i="8"/>
  <c r="E584" i="8" s="1"/>
  <c r="C584" i="8"/>
  <c r="B584" i="8"/>
  <c r="I583" i="8"/>
  <c r="D583" i="8"/>
  <c r="C583" i="8"/>
  <c r="B583" i="8"/>
  <c r="I582" i="8"/>
  <c r="D582" i="8"/>
  <c r="C582" i="8"/>
  <c r="B582" i="8"/>
  <c r="I581" i="8"/>
  <c r="D581" i="8"/>
  <c r="E581" i="8" s="1"/>
  <c r="C581" i="8"/>
  <c r="B581" i="8"/>
  <c r="I580" i="8"/>
  <c r="D580" i="8"/>
  <c r="F580" i="8" s="1"/>
  <c r="C580" i="8"/>
  <c r="B580" i="8"/>
  <c r="I579" i="8"/>
  <c r="D579" i="8"/>
  <c r="C579" i="8"/>
  <c r="B579" i="8"/>
  <c r="I578" i="8"/>
  <c r="D578" i="8"/>
  <c r="E578" i="8" s="1"/>
  <c r="C578" i="8"/>
  <c r="B578" i="8"/>
  <c r="I577" i="8"/>
  <c r="D577" i="8"/>
  <c r="J577" i="8" s="1"/>
  <c r="C577" i="8"/>
  <c r="B577" i="8"/>
  <c r="I576" i="8"/>
  <c r="D576" i="8"/>
  <c r="J576" i="8" s="1"/>
  <c r="C576" i="8"/>
  <c r="B576" i="8"/>
  <c r="I575" i="8"/>
  <c r="D575" i="8"/>
  <c r="E575" i="8" s="1"/>
  <c r="C575" i="8"/>
  <c r="B575" i="8"/>
  <c r="I574" i="8"/>
  <c r="D574" i="8"/>
  <c r="J574" i="8" s="1"/>
  <c r="C574" i="8"/>
  <c r="B574" i="8"/>
  <c r="I573" i="8"/>
  <c r="D573" i="8"/>
  <c r="C573" i="8"/>
  <c r="B573" i="8"/>
  <c r="I572" i="8"/>
  <c r="D572" i="8"/>
  <c r="E572" i="8" s="1"/>
  <c r="C572" i="8"/>
  <c r="B572" i="8"/>
  <c r="I571" i="8"/>
  <c r="D571" i="8"/>
  <c r="J571" i="8" s="1"/>
  <c r="C571" i="8"/>
  <c r="B571" i="8"/>
  <c r="I570" i="8"/>
  <c r="D570" i="8"/>
  <c r="J570" i="8" s="1"/>
  <c r="C570" i="8"/>
  <c r="B570" i="8"/>
  <c r="I569" i="8"/>
  <c r="D569" i="8"/>
  <c r="E569" i="8" s="1"/>
  <c r="C569" i="8"/>
  <c r="B569" i="8"/>
  <c r="I568" i="8"/>
  <c r="D568" i="8"/>
  <c r="C568" i="8"/>
  <c r="B568" i="8"/>
  <c r="I567" i="8"/>
  <c r="D567" i="8"/>
  <c r="J567" i="8" s="1"/>
  <c r="C567" i="8"/>
  <c r="B567" i="8"/>
  <c r="I566" i="8"/>
  <c r="D566" i="8"/>
  <c r="E566" i="8" s="1"/>
  <c r="C566" i="8"/>
  <c r="B566" i="8"/>
  <c r="I565" i="8"/>
  <c r="D565" i="8"/>
  <c r="G565" i="8" s="1"/>
  <c r="C565" i="8"/>
  <c r="B565" i="8"/>
  <c r="I564" i="8"/>
  <c r="D564" i="8"/>
  <c r="F564" i="8" s="1"/>
  <c r="C564" i="8"/>
  <c r="B564" i="8"/>
  <c r="I563" i="8"/>
  <c r="D563" i="8"/>
  <c r="C563" i="8"/>
  <c r="B563" i="8"/>
  <c r="I562" i="8"/>
  <c r="D562" i="8"/>
  <c r="E562" i="8" s="1"/>
  <c r="C562" i="8"/>
  <c r="B562" i="8"/>
  <c r="I561" i="8"/>
  <c r="D561" i="8"/>
  <c r="C561" i="8"/>
  <c r="B561" i="8"/>
  <c r="I560" i="8"/>
  <c r="D560" i="8"/>
  <c r="E560" i="8" s="1"/>
  <c r="C560" i="8"/>
  <c r="B560" i="8"/>
  <c r="I559" i="8"/>
  <c r="D559" i="8"/>
  <c r="J559" i="8" s="1"/>
  <c r="C559" i="8"/>
  <c r="B559" i="8"/>
  <c r="I558" i="8"/>
  <c r="D558" i="8"/>
  <c r="J558" i="8" s="1"/>
  <c r="C558" i="8"/>
  <c r="B558" i="8"/>
  <c r="I557" i="8"/>
  <c r="D557" i="8"/>
  <c r="E557" i="8" s="1"/>
  <c r="C557" i="8"/>
  <c r="B557" i="8"/>
  <c r="I556" i="8"/>
  <c r="D556" i="8"/>
  <c r="G556" i="8" s="1"/>
  <c r="C556" i="8"/>
  <c r="B556" i="8"/>
  <c r="I555" i="8"/>
  <c r="D555" i="8"/>
  <c r="C555" i="8"/>
  <c r="B555" i="8"/>
  <c r="I554" i="8"/>
  <c r="D554" i="8"/>
  <c r="E554" i="8" s="1"/>
  <c r="C554" i="8"/>
  <c r="B554" i="8"/>
  <c r="I553" i="8"/>
  <c r="D553" i="8"/>
  <c r="J553" i="8" s="1"/>
  <c r="C553" i="8"/>
  <c r="B553" i="8"/>
  <c r="I552" i="8"/>
  <c r="D552" i="8"/>
  <c r="J552" i="8" s="1"/>
  <c r="C552" i="8"/>
  <c r="B552" i="8"/>
  <c r="I551" i="8"/>
  <c r="D551" i="8"/>
  <c r="E551" i="8" s="1"/>
  <c r="C551" i="8"/>
  <c r="B551" i="8"/>
  <c r="I550" i="8"/>
  <c r="D550" i="8"/>
  <c r="E550" i="8" s="1"/>
  <c r="C550" i="8"/>
  <c r="B550" i="8"/>
  <c r="I549" i="8"/>
  <c r="D549" i="8"/>
  <c r="J549" i="8" s="1"/>
  <c r="C549" i="8"/>
  <c r="B549" i="8"/>
  <c r="I548" i="8"/>
  <c r="D548" i="8"/>
  <c r="E548" i="8" s="1"/>
  <c r="C548" i="8"/>
  <c r="B548" i="8"/>
  <c r="I547" i="8"/>
  <c r="D547" i="8"/>
  <c r="G547" i="8" s="1"/>
  <c r="C547" i="8"/>
  <c r="B547" i="8"/>
  <c r="I546" i="8"/>
  <c r="D546" i="8"/>
  <c r="C546" i="8"/>
  <c r="B546" i="8"/>
  <c r="I545" i="8"/>
  <c r="D545" i="8"/>
  <c r="F545" i="8" s="1"/>
  <c r="C545" i="8"/>
  <c r="B545" i="8"/>
  <c r="I544" i="8"/>
  <c r="D544" i="8"/>
  <c r="E544" i="8" s="1"/>
  <c r="C544" i="8"/>
  <c r="B544" i="8"/>
  <c r="I543" i="8"/>
  <c r="D543" i="8"/>
  <c r="G543" i="8" s="1"/>
  <c r="C543" i="8"/>
  <c r="B543" i="8"/>
  <c r="I542" i="8"/>
  <c r="D542" i="8"/>
  <c r="E542" i="8" s="1"/>
  <c r="C542" i="8"/>
  <c r="B542" i="8"/>
  <c r="I541" i="8"/>
  <c r="D541" i="8"/>
  <c r="J541" i="8" s="1"/>
  <c r="C541" i="8"/>
  <c r="B541" i="8"/>
  <c r="I540" i="8"/>
  <c r="D540" i="8"/>
  <c r="J540" i="8" s="1"/>
  <c r="C540" i="8"/>
  <c r="B540" i="8"/>
  <c r="I539" i="8"/>
  <c r="D539" i="8"/>
  <c r="E539" i="8" s="1"/>
  <c r="C539" i="8"/>
  <c r="B539" i="8"/>
  <c r="I538" i="8"/>
  <c r="D538" i="8"/>
  <c r="G538" i="8" s="1"/>
  <c r="C538" i="8"/>
  <c r="B538" i="8"/>
  <c r="I537" i="8"/>
  <c r="D537" i="8"/>
  <c r="C537" i="8"/>
  <c r="B537" i="8"/>
  <c r="I536" i="8"/>
  <c r="D536" i="8"/>
  <c r="E536" i="8" s="1"/>
  <c r="C536" i="8"/>
  <c r="B536" i="8"/>
  <c r="I535" i="8"/>
  <c r="D535" i="8"/>
  <c r="J535" i="8" s="1"/>
  <c r="C535" i="8"/>
  <c r="B535" i="8"/>
  <c r="I534" i="8"/>
  <c r="D534" i="8"/>
  <c r="J534" i="8" s="1"/>
  <c r="C534" i="8"/>
  <c r="B534" i="8"/>
  <c r="I533" i="8"/>
  <c r="D533" i="8"/>
  <c r="E533" i="8" s="1"/>
  <c r="C533" i="8"/>
  <c r="B533" i="8"/>
  <c r="I532" i="8"/>
  <c r="D532" i="8"/>
  <c r="C532" i="8"/>
  <c r="B532" i="8"/>
  <c r="I531" i="8"/>
  <c r="D531" i="8"/>
  <c r="J531" i="8" s="1"/>
  <c r="C531" i="8"/>
  <c r="B531" i="8"/>
  <c r="I530" i="8"/>
  <c r="D530" i="8"/>
  <c r="E530" i="8" s="1"/>
  <c r="C530" i="8"/>
  <c r="B530" i="8"/>
  <c r="I529" i="8"/>
  <c r="D529" i="8"/>
  <c r="G529" i="8" s="1"/>
  <c r="C529" i="8"/>
  <c r="B529" i="8"/>
  <c r="I528" i="8"/>
  <c r="D528" i="8"/>
  <c r="C528" i="8"/>
  <c r="B528" i="8"/>
  <c r="I527" i="8"/>
  <c r="D527" i="8"/>
  <c r="C527" i="8"/>
  <c r="B527" i="8"/>
  <c r="I526" i="8"/>
  <c r="D526" i="8"/>
  <c r="E526" i="8" s="1"/>
  <c r="C526" i="8"/>
  <c r="B526" i="8"/>
  <c r="I525" i="8"/>
  <c r="D525" i="8"/>
  <c r="C525" i="8"/>
  <c r="B525" i="8"/>
  <c r="I524" i="8"/>
  <c r="D524" i="8"/>
  <c r="E524" i="8" s="1"/>
  <c r="C524" i="8"/>
  <c r="B524" i="8"/>
  <c r="I523" i="8"/>
  <c r="D523" i="8"/>
  <c r="J523" i="8" s="1"/>
  <c r="C523" i="8"/>
  <c r="B523" i="8"/>
  <c r="I522" i="8"/>
  <c r="D522" i="8"/>
  <c r="J522" i="8" s="1"/>
  <c r="C522" i="8"/>
  <c r="B522" i="8"/>
  <c r="I521" i="8"/>
  <c r="D521" i="8"/>
  <c r="G521" i="8" s="1"/>
  <c r="C521" i="8"/>
  <c r="B521" i="8"/>
  <c r="I520" i="8"/>
  <c r="D520" i="8"/>
  <c r="J520" i="8" s="1"/>
  <c r="C520" i="8"/>
  <c r="B520" i="8"/>
  <c r="I519" i="8"/>
  <c r="D519" i="8"/>
  <c r="G519" i="8" s="1"/>
  <c r="C519" i="8"/>
  <c r="B519" i="8"/>
  <c r="I518" i="8"/>
  <c r="D518" i="8"/>
  <c r="G518" i="8" s="1"/>
  <c r="C518" i="8"/>
  <c r="B518" i="8"/>
  <c r="I517" i="8"/>
  <c r="D517" i="8"/>
  <c r="J517" i="8" s="1"/>
  <c r="C517" i="8"/>
  <c r="B517" i="8"/>
  <c r="I516" i="8"/>
  <c r="D516" i="8"/>
  <c r="C516" i="8"/>
  <c r="B516" i="8"/>
  <c r="I515" i="8"/>
  <c r="D515" i="8"/>
  <c r="G515" i="8" s="1"/>
  <c r="C515" i="8"/>
  <c r="B515" i="8"/>
  <c r="I514" i="8"/>
  <c r="D514" i="8"/>
  <c r="J514" i="8" s="1"/>
  <c r="C514" i="8"/>
  <c r="B514" i="8"/>
  <c r="I513" i="8"/>
  <c r="D513" i="8"/>
  <c r="G513" i="8" s="1"/>
  <c r="C513" i="8"/>
  <c r="B513" i="8"/>
  <c r="I512" i="8"/>
  <c r="D512" i="8"/>
  <c r="G512" i="8" s="1"/>
  <c r="C512" i="8"/>
  <c r="B512" i="8"/>
  <c r="I511" i="8"/>
  <c r="D511" i="8"/>
  <c r="J511" i="8" s="1"/>
  <c r="C511" i="8"/>
  <c r="B511" i="8"/>
  <c r="I510" i="8"/>
  <c r="D510" i="8"/>
  <c r="C510" i="8"/>
  <c r="B510" i="8"/>
  <c r="I509" i="8"/>
  <c r="D509" i="8"/>
  <c r="G509" i="8" s="1"/>
  <c r="C509" i="8"/>
  <c r="B509" i="8"/>
  <c r="I508" i="8"/>
  <c r="D508" i="8"/>
  <c r="J508" i="8" s="1"/>
  <c r="C508" i="8"/>
  <c r="B508" i="8"/>
  <c r="I507" i="8"/>
  <c r="D507" i="8"/>
  <c r="G507" i="8" s="1"/>
  <c r="C507" i="8"/>
  <c r="B507" i="8"/>
  <c r="I506" i="8"/>
  <c r="D506" i="8"/>
  <c r="G506" i="8" s="1"/>
  <c r="C506" i="8"/>
  <c r="B506" i="8"/>
  <c r="I505" i="8"/>
  <c r="D505" i="8"/>
  <c r="J505" i="8" s="1"/>
  <c r="C505" i="8"/>
  <c r="B505" i="8"/>
  <c r="I504" i="8"/>
  <c r="D504" i="8"/>
  <c r="C504" i="8"/>
  <c r="B504" i="8"/>
  <c r="I503" i="8"/>
  <c r="D503" i="8"/>
  <c r="G503" i="8" s="1"/>
  <c r="C503" i="8"/>
  <c r="B503" i="8"/>
  <c r="I502" i="8"/>
  <c r="D502" i="8"/>
  <c r="J502" i="8" s="1"/>
  <c r="C502" i="8"/>
  <c r="B502" i="8"/>
  <c r="I501" i="8"/>
  <c r="D501" i="8"/>
  <c r="G501" i="8" s="1"/>
  <c r="C501" i="8"/>
  <c r="B501" i="8"/>
  <c r="I500" i="8"/>
  <c r="D500" i="8"/>
  <c r="G500" i="8" s="1"/>
  <c r="C500" i="8"/>
  <c r="B500" i="8"/>
  <c r="I499" i="8"/>
  <c r="D499" i="8"/>
  <c r="J499" i="8" s="1"/>
  <c r="C499" i="8"/>
  <c r="B499" i="8"/>
  <c r="I498" i="8"/>
  <c r="D498" i="8"/>
  <c r="C498" i="8"/>
  <c r="B498" i="8"/>
  <c r="I497" i="8"/>
  <c r="D497" i="8"/>
  <c r="G497" i="8" s="1"/>
  <c r="C497" i="8"/>
  <c r="B497" i="8"/>
  <c r="I496" i="8"/>
  <c r="D496" i="8"/>
  <c r="J496" i="8" s="1"/>
  <c r="C496" i="8"/>
  <c r="B496" i="8"/>
  <c r="I495" i="8"/>
  <c r="D495" i="8"/>
  <c r="G495" i="8" s="1"/>
  <c r="C495" i="8"/>
  <c r="B495" i="8"/>
  <c r="I494" i="8"/>
  <c r="D494" i="8"/>
  <c r="G494" i="8" s="1"/>
  <c r="C494" i="8"/>
  <c r="B494" i="8"/>
  <c r="I493" i="8"/>
  <c r="D493" i="8"/>
  <c r="J493" i="8" s="1"/>
  <c r="C493" i="8"/>
  <c r="B493" i="8"/>
  <c r="I492" i="8"/>
  <c r="D492" i="8"/>
  <c r="C492" i="8"/>
  <c r="B492" i="8"/>
  <c r="I491" i="8"/>
  <c r="D491" i="8"/>
  <c r="G491" i="8" s="1"/>
  <c r="C491" i="8"/>
  <c r="B491" i="8"/>
  <c r="I490" i="8"/>
  <c r="D490" i="8"/>
  <c r="J490" i="8" s="1"/>
  <c r="C490" i="8"/>
  <c r="B490" i="8"/>
  <c r="I489" i="8"/>
  <c r="D489" i="8"/>
  <c r="G489" i="8" s="1"/>
  <c r="C489" i="8"/>
  <c r="B489" i="8"/>
  <c r="I488" i="8"/>
  <c r="D488" i="8"/>
  <c r="G488" i="8" s="1"/>
  <c r="C488" i="8"/>
  <c r="B488" i="8"/>
  <c r="I487" i="8"/>
  <c r="D487" i="8"/>
  <c r="J487" i="8" s="1"/>
  <c r="C487" i="8"/>
  <c r="B487" i="8"/>
  <c r="I486" i="8"/>
  <c r="D486" i="8"/>
  <c r="C486" i="8"/>
  <c r="B486" i="8"/>
  <c r="I485" i="8"/>
  <c r="D485" i="8"/>
  <c r="G485" i="8" s="1"/>
  <c r="C485" i="8"/>
  <c r="B485" i="8"/>
  <c r="I484" i="8"/>
  <c r="D484" i="8"/>
  <c r="J484" i="8" s="1"/>
  <c r="C484" i="8"/>
  <c r="B484" i="8"/>
  <c r="I483" i="8"/>
  <c r="D483" i="8"/>
  <c r="G483" i="8" s="1"/>
  <c r="C483" i="8"/>
  <c r="B483" i="8"/>
  <c r="I482" i="8"/>
  <c r="D482" i="8"/>
  <c r="G482" i="8" s="1"/>
  <c r="C482" i="8"/>
  <c r="B482" i="8"/>
  <c r="I481" i="8"/>
  <c r="D481" i="8"/>
  <c r="J481" i="8" s="1"/>
  <c r="C481" i="8"/>
  <c r="B481" i="8"/>
  <c r="I480" i="8"/>
  <c r="D480" i="8"/>
  <c r="C480" i="8"/>
  <c r="B480" i="8"/>
  <c r="I479" i="8"/>
  <c r="D479" i="8"/>
  <c r="G479" i="8" s="1"/>
  <c r="C479" i="8"/>
  <c r="B479" i="8"/>
  <c r="I478" i="8"/>
  <c r="D478" i="8"/>
  <c r="J478" i="8" s="1"/>
  <c r="C478" i="8"/>
  <c r="B478" i="8"/>
  <c r="I477" i="8"/>
  <c r="D477" i="8"/>
  <c r="G477" i="8" s="1"/>
  <c r="C477" i="8"/>
  <c r="B477" i="8"/>
  <c r="I476" i="8"/>
  <c r="D476" i="8"/>
  <c r="G476" i="8" s="1"/>
  <c r="C476" i="8"/>
  <c r="B476" i="8"/>
  <c r="I475" i="8"/>
  <c r="D475" i="8"/>
  <c r="J475" i="8" s="1"/>
  <c r="C475" i="8"/>
  <c r="B475" i="8"/>
  <c r="I474" i="8"/>
  <c r="D474" i="8"/>
  <c r="C474" i="8"/>
  <c r="B474" i="8"/>
  <c r="I473" i="8"/>
  <c r="D473" i="8"/>
  <c r="C473" i="8"/>
  <c r="B473" i="8"/>
  <c r="I472" i="8"/>
  <c r="D472" i="8"/>
  <c r="J472" i="8" s="1"/>
  <c r="C472" i="8"/>
  <c r="B472" i="8"/>
  <c r="I471" i="8"/>
  <c r="D471" i="8"/>
  <c r="G471" i="8" s="1"/>
  <c r="C471" i="8"/>
  <c r="B471" i="8"/>
  <c r="I470" i="8"/>
  <c r="D470" i="8"/>
  <c r="C470" i="8"/>
  <c r="B470" i="8"/>
  <c r="I469" i="8"/>
  <c r="D469" i="8"/>
  <c r="J469" i="8" s="1"/>
  <c r="C469" i="8"/>
  <c r="B469" i="8"/>
  <c r="I468" i="8"/>
  <c r="D468" i="8"/>
  <c r="C468" i="8"/>
  <c r="B468" i="8"/>
  <c r="I467" i="8"/>
  <c r="D467" i="8"/>
  <c r="C467" i="8"/>
  <c r="B467" i="8"/>
  <c r="I466" i="8"/>
  <c r="D466" i="8"/>
  <c r="J466" i="8" s="1"/>
  <c r="C466" i="8"/>
  <c r="B466" i="8"/>
  <c r="I465" i="8"/>
  <c r="D465" i="8"/>
  <c r="F465" i="8" s="1"/>
  <c r="C465" i="8"/>
  <c r="B465" i="8"/>
  <c r="I464" i="8"/>
  <c r="D464" i="8"/>
  <c r="C464" i="8"/>
  <c r="B464" i="8"/>
  <c r="I463" i="8"/>
  <c r="D463" i="8"/>
  <c r="J463" i="8" s="1"/>
  <c r="C463" i="8"/>
  <c r="B463" i="8"/>
  <c r="I462" i="8"/>
  <c r="D462" i="8"/>
  <c r="C462" i="8"/>
  <c r="B462" i="8"/>
  <c r="I461" i="8"/>
  <c r="D461" i="8"/>
  <c r="C461" i="8"/>
  <c r="B461" i="8"/>
  <c r="I460" i="8"/>
  <c r="D460" i="8"/>
  <c r="J460" i="8" s="1"/>
  <c r="C460" i="8"/>
  <c r="B460" i="8"/>
  <c r="I459" i="8"/>
  <c r="D459" i="8"/>
  <c r="F459" i="8" s="1"/>
  <c r="C459" i="8"/>
  <c r="B459" i="8"/>
  <c r="I458" i="8"/>
  <c r="D458" i="8"/>
  <c r="C458" i="8"/>
  <c r="B458" i="8"/>
  <c r="I457" i="8"/>
  <c r="D457" i="8"/>
  <c r="J457" i="8" s="1"/>
  <c r="C457" i="8"/>
  <c r="B457" i="8"/>
  <c r="I456" i="8"/>
  <c r="D456" i="8"/>
  <c r="C456" i="8"/>
  <c r="B456" i="8"/>
  <c r="I455" i="8"/>
  <c r="D455" i="8"/>
  <c r="C455" i="8"/>
  <c r="B455" i="8"/>
  <c r="I454" i="8"/>
  <c r="D454" i="8"/>
  <c r="J454" i="8" s="1"/>
  <c r="C454" i="8"/>
  <c r="B454" i="8"/>
  <c r="I453" i="8"/>
  <c r="D453" i="8"/>
  <c r="G453" i="8" s="1"/>
  <c r="C453" i="8"/>
  <c r="B453" i="8"/>
  <c r="I452" i="8"/>
  <c r="D452" i="8"/>
  <c r="C452" i="8"/>
  <c r="B452" i="8"/>
  <c r="I451" i="8"/>
  <c r="D451" i="8"/>
  <c r="J451" i="8" s="1"/>
  <c r="C451" i="8"/>
  <c r="B451" i="8"/>
  <c r="I450" i="8"/>
  <c r="D450" i="8"/>
  <c r="C450" i="8"/>
  <c r="B450" i="8"/>
  <c r="I449" i="8"/>
  <c r="D449" i="8"/>
  <c r="C449" i="8"/>
  <c r="B449" i="8"/>
  <c r="I448" i="8"/>
  <c r="D448" i="8"/>
  <c r="J448" i="8" s="1"/>
  <c r="C448" i="8"/>
  <c r="B448" i="8"/>
  <c r="I447" i="8"/>
  <c r="D447" i="8"/>
  <c r="G447" i="8" s="1"/>
  <c r="C447" i="8"/>
  <c r="B447" i="8"/>
  <c r="I446" i="8"/>
  <c r="D446" i="8"/>
  <c r="C446" i="8"/>
  <c r="B446" i="8"/>
  <c r="I445" i="8"/>
  <c r="D445" i="8"/>
  <c r="J445" i="8" s="1"/>
  <c r="C445" i="8"/>
  <c r="B445" i="8"/>
  <c r="I444" i="8"/>
  <c r="D444" i="8"/>
  <c r="C444" i="8"/>
  <c r="B444" i="8"/>
  <c r="I443" i="8"/>
  <c r="D443" i="8"/>
  <c r="G443" i="8" s="1"/>
  <c r="C443" i="8"/>
  <c r="B443" i="8"/>
  <c r="I442" i="8"/>
  <c r="D442" i="8"/>
  <c r="J442" i="8" s="1"/>
  <c r="C442" i="8"/>
  <c r="B442" i="8"/>
  <c r="I441" i="8"/>
  <c r="D441" i="8"/>
  <c r="F441" i="8" s="1"/>
  <c r="C441" i="8"/>
  <c r="B441" i="8"/>
  <c r="I440" i="8"/>
  <c r="D440" i="8"/>
  <c r="E440" i="8" s="1"/>
  <c r="C440" i="8"/>
  <c r="B440" i="8"/>
  <c r="I439" i="8"/>
  <c r="D439" i="8"/>
  <c r="J439" i="8" s="1"/>
  <c r="C439" i="8"/>
  <c r="B439" i="8"/>
  <c r="I438" i="8"/>
  <c r="D438" i="8"/>
  <c r="F438" i="8" s="1"/>
  <c r="C438" i="8"/>
  <c r="B438" i="8"/>
  <c r="I437" i="8"/>
  <c r="D437" i="8"/>
  <c r="F437" i="8" s="1"/>
  <c r="C437" i="8"/>
  <c r="B437" i="8"/>
  <c r="I436" i="8"/>
  <c r="D436" i="8"/>
  <c r="C436" i="8"/>
  <c r="B436" i="8"/>
  <c r="I435" i="8"/>
  <c r="D435" i="8"/>
  <c r="J435" i="8" s="1"/>
  <c r="C435" i="8"/>
  <c r="B435" i="8"/>
  <c r="I434" i="8"/>
  <c r="D434" i="8"/>
  <c r="J434" i="8" s="1"/>
  <c r="C434" i="8"/>
  <c r="B434" i="8"/>
  <c r="I433" i="8"/>
  <c r="D433" i="8"/>
  <c r="E433" i="8" s="1"/>
  <c r="C433" i="8"/>
  <c r="B433" i="8"/>
  <c r="I432" i="8"/>
  <c r="D432" i="8"/>
  <c r="J432" i="8" s="1"/>
  <c r="C432" i="8"/>
  <c r="B432" i="8"/>
  <c r="I431" i="8"/>
  <c r="D431" i="8"/>
  <c r="J431" i="8" s="1"/>
  <c r="C431" i="8"/>
  <c r="B431" i="8"/>
  <c r="I430" i="8"/>
  <c r="D430" i="8"/>
  <c r="F430" i="8" s="1"/>
  <c r="C430" i="8"/>
  <c r="B430" i="8"/>
  <c r="I429" i="8"/>
  <c r="D429" i="8"/>
  <c r="J429" i="8" s="1"/>
  <c r="C429" i="8"/>
  <c r="B429" i="8"/>
  <c r="I428" i="8"/>
  <c r="D428" i="8"/>
  <c r="J428" i="8" s="1"/>
  <c r="C428" i="8"/>
  <c r="B428" i="8"/>
  <c r="I427" i="8"/>
  <c r="D427" i="8"/>
  <c r="C427" i="8"/>
  <c r="B427" i="8"/>
  <c r="I426" i="8"/>
  <c r="D426" i="8"/>
  <c r="J426" i="8" s="1"/>
  <c r="C426" i="8"/>
  <c r="B426" i="8"/>
  <c r="I425" i="8"/>
  <c r="D425" i="8"/>
  <c r="E425" i="8" s="1"/>
  <c r="C425" i="8"/>
  <c r="B425" i="8"/>
  <c r="I424" i="8"/>
  <c r="D424" i="8"/>
  <c r="C424" i="8"/>
  <c r="B424" i="8"/>
  <c r="I423" i="8"/>
  <c r="D423" i="8"/>
  <c r="J423" i="8" s="1"/>
  <c r="C423" i="8"/>
  <c r="B423" i="8"/>
  <c r="I422" i="8"/>
  <c r="D422" i="8"/>
  <c r="E422" i="8" s="1"/>
  <c r="C422" i="8"/>
  <c r="B422" i="8"/>
  <c r="I421" i="8"/>
  <c r="D421" i="8"/>
  <c r="C421" i="8"/>
  <c r="B421" i="8"/>
  <c r="I420" i="8"/>
  <c r="D420" i="8"/>
  <c r="J420" i="8" s="1"/>
  <c r="C420" i="8"/>
  <c r="B420" i="8"/>
  <c r="I419" i="8"/>
  <c r="D419" i="8"/>
  <c r="E419" i="8" s="1"/>
  <c r="C419" i="8"/>
  <c r="B419" i="8"/>
  <c r="I418" i="8"/>
  <c r="D418" i="8"/>
  <c r="C418" i="8"/>
  <c r="B418" i="8"/>
  <c r="I417" i="8"/>
  <c r="D417" i="8"/>
  <c r="J417" i="8" s="1"/>
  <c r="C417" i="8"/>
  <c r="B417" i="8"/>
  <c r="I416" i="8"/>
  <c r="D416" i="8"/>
  <c r="E416" i="8" s="1"/>
  <c r="C416" i="8"/>
  <c r="B416" i="8"/>
  <c r="I415" i="8"/>
  <c r="D415" i="8"/>
  <c r="C415" i="8"/>
  <c r="B415" i="8"/>
  <c r="I414" i="8"/>
  <c r="D414" i="8"/>
  <c r="J414" i="8" s="1"/>
  <c r="C414" i="8"/>
  <c r="B414" i="8"/>
  <c r="I413" i="8"/>
  <c r="D413" i="8"/>
  <c r="E413" i="8" s="1"/>
  <c r="C413" i="8"/>
  <c r="B413" i="8"/>
  <c r="I412" i="8"/>
  <c r="D412" i="8"/>
  <c r="C412" i="8"/>
  <c r="B412" i="8"/>
  <c r="I411" i="8"/>
  <c r="D411" i="8"/>
  <c r="F411" i="8" s="1"/>
  <c r="C411" i="8"/>
  <c r="B411" i="8"/>
  <c r="I410" i="8"/>
  <c r="D410" i="8"/>
  <c r="E410" i="8" s="1"/>
  <c r="C410" i="8"/>
  <c r="B410" i="8"/>
  <c r="I409" i="8"/>
  <c r="D409" i="8"/>
  <c r="F409" i="8" s="1"/>
  <c r="C409" i="8"/>
  <c r="B409" i="8"/>
  <c r="I408" i="8"/>
  <c r="D408" i="8"/>
  <c r="C408" i="8"/>
  <c r="B408" i="8"/>
  <c r="I407" i="8"/>
  <c r="D407" i="8"/>
  <c r="E407" i="8" s="1"/>
  <c r="C407" i="8"/>
  <c r="B407" i="8"/>
  <c r="I406" i="8"/>
  <c r="D406" i="8"/>
  <c r="C406" i="8"/>
  <c r="B406" i="8"/>
  <c r="I405" i="8"/>
  <c r="D405" i="8"/>
  <c r="F405" i="8" s="1"/>
  <c r="C405" i="8"/>
  <c r="B405" i="8"/>
  <c r="I404" i="8"/>
  <c r="D404" i="8"/>
  <c r="E404" i="8" s="1"/>
  <c r="C404" i="8"/>
  <c r="B404" i="8"/>
  <c r="I403" i="8"/>
  <c r="D403" i="8"/>
  <c r="F403" i="8" s="1"/>
  <c r="C403" i="8"/>
  <c r="B403" i="8"/>
  <c r="I402" i="8"/>
  <c r="D402" i="8"/>
  <c r="C402" i="8"/>
  <c r="B402" i="8"/>
  <c r="I401" i="8"/>
  <c r="D401" i="8"/>
  <c r="E401" i="8" s="1"/>
  <c r="C401" i="8"/>
  <c r="B401" i="8"/>
  <c r="I400" i="8"/>
  <c r="D400" i="8"/>
  <c r="C400" i="8"/>
  <c r="B400" i="8"/>
  <c r="I399" i="8"/>
  <c r="D399" i="8"/>
  <c r="F399" i="8" s="1"/>
  <c r="C399" i="8"/>
  <c r="B399" i="8"/>
  <c r="I398" i="8"/>
  <c r="D398" i="8"/>
  <c r="E398" i="8" s="1"/>
  <c r="C398" i="8"/>
  <c r="B398" i="8"/>
  <c r="I397" i="8"/>
  <c r="D397" i="8"/>
  <c r="F397" i="8" s="1"/>
  <c r="C397" i="8"/>
  <c r="B397" i="8"/>
  <c r="I396" i="8"/>
  <c r="D396" i="8"/>
  <c r="C396" i="8"/>
  <c r="B396" i="8"/>
  <c r="I395" i="8"/>
  <c r="D395" i="8"/>
  <c r="E395" i="8" s="1"/>
  <c r="C395" i="8"/>
  <c r="B395" i="8"/>
  <c r="I394" i="8"/>
  <c r="D394" i="8"/>
  <c r="C394" i="8"/>
  <c r="B394" i="8"/>
  <c r="I393" i="8"/>
  <c r="D393" i="8"/>
  <c r="F393" i="8" s="1"/>
  <c r="C393" i="8"/>
  <c r="B393" i="8"/>
  <c r="I392" i="8"/>
  <c r="D392" i="8"/>
  <c r="E392" i="8" s="1"/>
  <c r="C392" i="8"/>
  <c r="B392" i="8"/>
  <c r="I391" i="8"/>
  <c r="D391" i="8"/>
  <c r="C391" i="8"/>
  <c r="B391" i="8"/>
  <c r="I390" i="8"/>
  <c r="D390" i="8"/>
  <c r="C390" i="8"/>
  <c r="B390" i="8"/>
  <c r="I389" i="8"/>
  <c r="D389" i="8"/>
  <c r="E389" i="8" s="1"/>
  <c r="C389" i="8"/>
  <c r="B389" i="8"/>
  <c r="I388" i="8"/>
  <c r="D388" i="8"/>
  <c r="J388" i="8" s="1"/>
  <c r="C388" i="8"/>
  <c r="B388" i="8"/>
  <c r="I387" i="8"/>
  <c r="D387" i="8"/>
  <c r="C387" i="8"/>
  <c r="B387" i="8"/>
  <c r="I386" i="8"/>
  <c r="D386" i="8"/>
  <c r="E386" i="8" s="1"/>
  <c r="C386" i="8"/>
  <c r="B386" i="8"/>
  <c r="I385" i="8"/>
  <c r="D385" i="8"/>
  <c r="C385" i="8"/>
  <c r="B385" i="8"/>
  <c r="I384" i="8"/>
  <c r="D384" i="8"/>
  <c r="G384" i="8" s="1"/>
  <c r="C384" i="8"/>
  <c r="B384" i="8"/>
  <c r="I383" i="8"/>
  <c r="D383" i="8"/>
  <c r="E383" i="8" s="1"/>
  <c r="C383" i="8"/>
  <c r="B383" i="8"/>
  <c r="I382" i="8"/>
  <c r="D382" i="8"/>
  <c r="J382" i="8" s="1"/>
  <c r="C382" i="8"/>
  <c r="B382" i="8"/>
  <c r="I381" i="8"/>
  <c r="D381" i="8"/>
  <c r="G381" i="8" s="1"/>
  <c r="C381" i="8"/>
  <c r="B381" i="8"/>
  <c r="I380" i="8"/>
  <c r="D380" i="8"/>
  <c r="E380" i="8" s="1"/>
  <c r="C380" i="8"/>
  <c r="B380" i="8"/>
  <c r="I379" i="8"/>
  <c r="D379" i="8"/>
  <c r="E379" i="8" s="1"/>
  <c r="C379" i="8"/>
  <c r="B379" i="8"/>
  <c r="I378" i="8"/>
  <c r="D378" i="8"/>
  <c r="C378" i="8"/>
  <c r="B378" i="8"/>
  <c r="I377" i="8"/>
  <c r="D377" i="8"/>
  <c r="E377" i="8" s="1"/>
  <c r="C377" i="8"/>
  <c r="B377" i="8"/>
  <c r="I376" i="8"/>
  <c r="D376" i="8"/>
  <c r="F376" i="8" s="1"/>
  <c r="C376" i="8"/>
  <c r="B376" i="8"/>
  <c r="I375" i="8"/>
  <c r="D375" i="8"/>
  <c r="G375" i="8" s="1"/>
  <c r="C375" i="8"/>
  <c r="B375" i="8"/>
  <c r="I374" i="8"/>
  <c r="D374" i="8"/>
  <c r="E374" i="8" s="1"/>
  <c r="C374" i="8"/>
  <c r="B374" i="8"/>
  <c r="I373" i="8"/>
  <c r="D373" i="8"/>
  <c r="J373" i="8" s="1"/>
  <c r="C373" i="8"/>
  <c r="B373" i="8"/>
  <c r="I372" i="8"/>
  <c r="D372" i="8"/>
  <c r="G372" i="8" s="1"/>
  <c r="C372" i="8"/>
  <c r="B372" i="8"/>
  <c r="I371" i="8"/>
  <c r="D371" i="8"/>
  <c r="E371" i="8" s="1"/>
  <c r="C371" i="8"/>
  <c r="B371" i="8"/>
  <c r="I370" i="8"/>
  <c r="D370" i="8"/>
  <c r="J370" i="8" s="1"/>
  <c r="C370" i="8"/>
  <c r="B370" i="8"/>
  <c r="I369" i="8"/>
  <c r="D369" i="8"/>
  <c r="F369" i="8" s="1"/>
  <c r="C369" i="8"/>
  <c r="B369" i="8"/>
  <c r="I368" i="8"/>
  <c r="D368" i="8"/>
  <c r="E368" i="8" s="1"/>
  <c r="C368" i="8"/>
  <c r="B368" i="8"/>
  <c r="I367" i="8"/>
  <c r="D367" i="8"/>
  <c r="J367" i="8" s="1"/>
  <c r="C367" i="8"/>
  <c r="B367" i="8"/>
  <c r="I366" i="8"/>
  <c r="D366" i="8"/>
  <c r="C366" i="8"/>
  <c r="B366" i="8"/>
  <c r="I365" i="8"/>
  <c r="D365" i="8"/>
  <c r="E365" i="8" s="1"/>
  <c r="C365" i="8"/>
  <c r="B365" i="8"/>
  <c r="I364" i="8"/>
  <c r="D364" i="8"/>
  <c r="J364" i="8" s="1"/>
  <c r="C364" i="8"/>
  <c r="B364" i="8"/>
  <c r="B363" i="8"/>
  <c r="C363" i="8" s="1"/>
  <c r="B362" i="8"/>
  <c r="C362" i="8" s="1"/>
  <c r="B361" i="8"/>
  <c r="C361" i="8" s="1"/>
  <c r="B360" i="8"/>
  <c r="C360" i="8" s="1"/>
  <c r="C359" i="8"/>
  <c r="B359" i="8"/>
  <c r="B358" i="8"/>
  <c r="C358" i="8" s="1"/>
  <c r="B357" i="8"/>
  <c r="C357" i="8" s="1"/>
  <c r="B356" i="8"/>
  <c r="C356" i="8" s="1"/>
  <c r="B355" i="8"/>
  <c r="C355" i="8" s="1"/>
  <c r="B354" i="8"/>
  <c r="C354" i="8" s="1"/>
  <c r="B353" i="8"/>
  <c r="C353" i="8" s="1"/>
  <c r="B352" i="8"/>
  <c r="C352" i="8" s="1"/>
  <c r="B351" i="8"/>
  <c r="C351" i="8" s="1"/>
  <c r="B350" i="8"/>
  <c r="C350" i="8" s="1"/>
  <c r="B349" i="8"/>
  <c r="C349" i="8" s="1"/>
  <c r="B348" i="8"/>
  <c r="C348" i="8" s="1"/>
  <c r="B347" i="8"/>
  <c r="C347" i="8" s="1"/>
  <c r="B346" i="8"/>
  <c r="C346" i="8" s="1"/>
  <c r="B345" i="8"/>
  <c r="C345" i="8" s="1"/>
  <c r="B344" i="8"/>
  <c r="C344" i="8" s="1"/>
  <c r="B343" i="8"/>
  <c r="C343" i="8" s="1"/>
  <c r="B342" i="8"/>
  <c r="C342" i="8" s="1"/>
  <c r="B341" i="8"/>
  <c r="C341" i="8" s="1"/>
  <c r="B340" i="8"/>
  <c r="C340" i="8" s="1"/>
  <c r="B339" i="8"/>
  <c r="C339" i="8" s="1"/>
  <c r="B338" i="8"/>
  <c r="C338" i="8" s="1"/>
  <c r="B337" i="8"/>
  <c r="C337" i="8" s="1"/>
  <c r="B336" i="8"/>
  <c r="C336" i="8" s="1"/>
  <c r="B335" i="8"/>
  <c r="C335" i="8" s="1"/>
  <c r="B334" i="8"/>
  <c r="C334" i="8" s="1"/>
  <c r="B333" i="8"/>
  <c r="C333" i="8" s="1"/>
  <c r="B332" i="8"/>
  <c r="C332" i="8" s="1"/>
  <c r="B331" i="8"/>
  <c r="C331" i="8" s="1"/>
  <c r="B330" i="8"/>
  <c r="C330" i="8" s="1"/>
  <c r="B329" i="8"/>
  <c r="C329" i="8" s="1"/>
  <c r="B328" i="8"/>
  <c r="C328" i="8" s="1"/>
  <c r="B327" i="8"/>
  <c r="C327" i="8" s="1"/>
  <c r="B326" i="8"/>
  <c r="C326" i="8" s="1"/>
  <c r="B325" i="8"/>
  <c r="C325" i="8" s="1"/>
  <c r="B324" i="8"/>
  <c r="C324" i="8" s="1"/>
  <c r="B323" i="8"/>
  <c r="C323" i="8" s="1"/>
  <c r="B322" i="8"/>
  <c r="C322" i="8" s="1"/>
  <c r="B321" i="8"/>
  <c r="C321" i="8" s="1"/>
  <c r="B320" i="8"/>
  <c r="C320" i="8" s="1"/>
  <c r="B319" i="8"/>
  <c r="C319" i="8" s="1"/>
  <c r="B318" i="8"/>
  <c r="C318" i="8" s="1"/>
  <c r="B317" i="8"/>
  <c r="C317" i="8" s="1"/>
  <c r="B316" i="8"/>
  <c r="C316" i="8" s="1"/>
  <c r="B315" i="8"/>
  <c r="C315" i="8" s="1"/>
  <c r="B314" i="8"/>
  <c r="C314" i="8" s="1"/>
  <c r="B313" i="8"/>
  <c r="C313" i="8" s="1"/>
  <c r="B312" i="8"/>
  <c r="C312" i="8" s="1"/>
  <c r="B311" i="8"/>
  <c r="C311" i="8" s="1"/>
  <c r="B310" i="8"/>
  <c r="C310" i="8" s="1"/>
  <c r="B309" i="8"/>
  <c r="C309" i="8" s="1"/>
  <c r="B308" i="8"/>
  <c r="C308" i="8" s="1"/>
  <c r="B307" i="8"/>
  <c r="C307" i="8" s="1"/>
  <c r="B306" i="8"/>
  <c r="C306" i="8" s="1"/>
  <c r="B305" i="8"/>
  <c r="C305" i="8" s="1"/>
  <c r="B304" i="8"/>
  <c r="C304" i="8" s="1"/>
  <c r="B303" i="8"/>
  <c r="C303" i="8" s="1"/>
  <c r="B302" i="8"/>
  <c r="C302" i="8" s="1"/>
  <c r="B301" i="8"/>
  <c r="C301" i="8" s="1"/>
  <c r="B300" i="8"/>
  <c r="C300" i="8" s="1"/>
  <c r="B299" i="8"/>
  <c r="C299" i="8" s="1"/>
  <c r="B298" i="8"/>
  <c r="C298" i="8" s="1"/>
  <c r="B297" i="8"/>
  <c r="C297" i="8" s="1"/>
  <c r="B296" i="8"/>
  <c r="C296" i="8" s="1"/>
  <c r="B295" i="8"/>
  <c r="C295" i="8" s="1"/>
  <c r="B294" i="8"/>
  <c r="C294" i="8" s="1"/>
  <c r="B293" i="8"/>
  <c r="C293" i="8" s="1"/>
  <c r="B292" i="8"/>
  <c r="C292" i="8" s="1"/>
  <c r="C291" i="8"/>
  <c r="B291" i="8"/>
  <c r="B290" i="8"/>
  <c r="C290" i="8" s="1"/>
  <c r="B289" i="8"/>
  <c r="C289" i="8" s="1"/>
  <c r="B288" i="8"/>
  <c r="C288" i="8" s="1"/>
  <c r="B287" i="8"/>
  <c r="C287" i="8" s="1"/>
  <c r="B286" i="8"/>
  <c r="C286" i="8" s="1"/>
  <c r="B285" i="8"/>
  <c r="C285" i="8" s="1"/>
  <c r="B284" i="8"/>
  <c r="C284" i="8" s="1"/>
  <c r="B283" i="8"/>
  <c r="C283" i="8" s="1"/>
  <c r="B282" i="8"/>
  <c r="C282" i="8" s="1"/>
  <c r="B281" i="8"/>
  <c r="C281" i="8" s="1"/>
  <c r="B280" i="8"/>
  <c r="C280" i="8" s="1"/>
  <c r="B279" i="8"/>
  <c r="C279" i="8" s="1"/>
  <c r="B278" i="8"/>
  <c r="C278" i="8" s="1"/>
  <c r="B277" i="8"/>
  <c r="C277" i="8" s="1"/>
  <c r="B276" i="8"/>
  <c r="C276" i="8" s="1"/>
  <c r="B275" i="8"/>
  <c r="C275" i="8" s="1"/>
  <c r="B274" i="8"/>
  <c r="C274" i="8" s="1"/>
  <c r="B273" i="8"/>
  <c r="C273" i="8" s="1"/>
  <c r="B272" i="8"/>
  <c r="C272" i="8" s="1"/>
  <c r="B271" i="8"/>
  <c r="C271" i="8" s="1"/>
  <c r="B270" i="8"/>
  <c r="C270" i="8" s="1"/>
  <c r="B269" i="8"/>
  <c r="C269" i="8" s="1"/>
  <c r="B268" i="8"/>
  <c r="C268" i="8" s="1"/>
  <c r="B267" i="8"/>
  <c r="C267" i="8" s="1"/>
  <c r="B266" i="8"/>
  <c r="C266" i="8" s="1"/>
  <c r="B265" i="8"/>
  <c r="C265" i="8" s="1"/>
  <c r="B264" i="8"/>
  <c r="C264" i="8" s="1"/>
  <c r="B263" i="8"/>
  <c r="C263" i="8" s="1"/>
  <c r="B262" i="8"/>
  <c r="C262" i="8" s="1"/>
  <c r="B261" i="8"/>
  <c r="C261" i="8" s="1"/>
  <c r="B260" i="8"/>
  <c r="C260" i="8" s="1"/>
  <c r="B259" i="8"/>
  <c r="C259" i="8" s="1"/>
  <c r="B258" i="8"/>
  <c r="C258" i="8" s="1"/>
  <c r="B257" i="8"/>
  <c r="C257" i="8" s="1"/>
  <c r="B256" i="8"/>
  <c r="C256" i="8" s="1"/>
  <c r="B255" i="8"/>
  <c r="C255" i="8" s="1"/>
  <c r="B254" i="8"/>
  <c r="C254" i="8" s="1"/>
  <c r="B253" i="8"/>
  <c r="C253" i="8" s="1"/>
  <c r="B252" i="8"/>
  <c r="C252" i="8" s="1"/>
  <c r="B251" i="8"/>
  <c r="C251" i="8" s="1"/>
  <c r="B250" i="8"/>
  <c r="C250" i="8" s="1"/>
  <c r="B249" i="8"/>
  <c r="C249" i="8" s="1"/>
  <c r="B248" i="8"/>
  <c r="C248" i="8" s="1"/>
  <c r="B247" i="8"/>
  <c r="C247" i="8" s="1"/>
  <c r="B246" i="8"/>
  <c r="C246" i="8" s="1"/>
  <c r="B245" i="8"/>
  <c r="C245" i="8" s="1"/>
  <c r="B244" i="8"/>
  <c r="C244" i="8" s="1"/>
  <c r="B243" i="8"/>
  <c r="C243" i="8" s="1"/>
  <c r="B242" i="8"/>
  <c r="C242" i="8" s="1"/>
  <c r="B241" i="8"/>
  <c r="C241" i="8" s="1"/>
  <c r="B240" i="8"/>
  <c r="C240" i="8" s="1"/>
  <c r="B239" i="8"/>
  <c r="C239" i="8" s="1"/>
  <c r="B238" i="8"/>
  <c r="C238" i="8" s="1"/>
  <c r="C237" i="8"/>
  <c r="B237" i="8"/>
  <c r="B236" i="8"/>
  <c r="C236" i="8" s="1"/>
  <c r="B235" i="8"/>
  <c r="C235" i="8" s="1"/>
  <c r="B234" i="8"/>
  <c r="C234" i="8" s="1"/>
  <c r="B233" i="8"/>
  <c r="C233" i="8" s="1"/>
  <c r="B232" i="8"/>
  <c r="C232" i="8" s="1"/>
  <c r="B231" i="8"/>
  <c r="C231" i="8" s="1"/>
  <c r="B230" i="8"/>
  <c r="C230" i="8" s="1"/>
  <c r="B229" i="8"/>
  <c r="C229" i="8" s="1"/>
  <c r="B228" i="8"/>
  <c r="C228" i="8" s="1"/>
  <c r="B227" i="8"/>
  <c r="C227" i="8" s="1"/>
  <c r="B226" i="8"/>
  <c r="C226" i="8" s="1"/>
  <c r="C225" i="8"/>
  <c r="B225" i="8"/>
  <c r="B224" i="8"/>
  <c r="C224" i="8" s="1"/>
  <c r="B223" i="8"/>
  <c r="C223" i="8" s="1"/>
  <c r="B222" i="8"/>
  <c r="C222" i="8" s="1"/>
  <c r="C221" i="8"/>
  <c r="B221" i="8"/>
  <c r="B220" i="8"/>
  <c r="C220" i="8" s="1"/>
  <c r="B219" i="8"/>
  <c r="C219" i="8" s="1"/>
  <c r="B218" i="8"/>
  <c r="C218" i="8" s="1"/>
  <c r="B217" i="8"/>
  <c r="C217" i="8" s="1"/>
  <c r="B216" i="8"/>
  <c r="C216" i="8" s="1"/>
  <c r="B215" i="8"/>
  <c r="C215" i="8" s="1"/>
  <c r="B214" i="8"/>
  <c r="C214" i="8" s="1"/>
  <c r="B213" i="8"/>
  <c r="C213" i="8" s="1"/>
  <c r="B212" i="8"/>
  <c r="C212" i="8" s="1"/>
  <c r="B211" i="8"/>
  <c r="C211" i="8" s="1"/>
  <c r="B210" i="8"/>
  <c r="C210" i="8" s="1"/>
  <c r="B209" i="8"/>
  <c r="C209" i="8" s="1"/>
  <c r="B208" i="8"/>
  <c r="C208" i="8" s="1"/>
  <c r="B207" i="8"/>
  <c r="C207" i="8" s="1"/>
  <c r="C206" i="8"/>
  <c r="B206" i="8"/>
  <c r="B205" i="8"/>
  <c r="C205" i="8" s="1"/>
  <c r="B204" i="8"/>
  <c r="C204" i="8" s="1"/>
  <c r="B203" i="8"/>
  <c r="C203" i="8" s="1"/>
  <c r="B202" i="8"/>
  <c r="C202" i="8" s="1"/>
  <c r="B201" i="8"/>
  <c r="C201" i="8" s="1"/>
  <c r="B200" i="8"/>
  <c r="C200" i="8" s="1"/>
  <c r="B199" i="8"/>
  <c r="C199" i="8" s="1"/>
  <c r="B198" i="8"/>
  <c r="C198" i="8" s="1"/>
  <c r="B197" i="8"/>
  <c r="C197" i="8" s="1"/>
  <c r="B196" i="8"/>
  <c r="C196" i="8" s="1"/>
  <c r="B195" i="8"/>
  <c r="C195" i="8" s="1"/>
  <c r="B194" i="8"/>
  <c r="C194" i="8" s="1"/>
  <c r="B193" i="8"/>
  <c r="C193" i="8" s="1"/>
  <c r="B192" i="8"/>
  <c r="C192" i="8" s="1"/>
  <c r="B191" i="8"/>
  <c r="C191" i="8" s="1"/>
  <c r="B190" i="8"/>
  <c r="C190" i="8" s="1"/>
  <c r="B189" i="8"/>
  <c r="C189" i="8" s="1"/>
  <c r="B188" i="8"/>
  <c r="C188" i="8" s="1"/>
  <c r="B187" i="8"/>
  <c r="C187" i="8" s="1"/>
  <c r="C186" i="8"/>
  <c r="B186" i="8"/>
  <c r="B185" i="8"/>
  <c r="C185" i="8" s="1"/>
  <c r="B184" i="8"/>
  <c r="C184" i="8" s="1"/>
  <c r="B183" i="8"/>
  <c r="C183" i="8" s="1"/>
  <c r="B182" i="8"/>
  <c r="C182" i="8" s="1"/>
  <c r="B181" i="8"/>
  <c r="C181" i="8" s="1"/>
  <c r="B180" i="8"/>
  <c r="C180" i="8" s="1"/>
  <c r="B179" i="8"/>
  <c r="C179" i="8" s="1"/>
  <c r="B178" i="8"/>
  <c r="C178" i="8" s="1"/>
  <c r="B177" i="8"/>
  <c r="C177" i="8" s="1"/>
  <c r="B176" i="8"/>
  <c r="C176" i="8" s="1"/>
  <c r="B175" i="8"/>
  <c r="C175" i="8" s="1"/>
  <c r="B174" i="8"/>
  <c r="C174" i="8" s="1"/>
  <c r="B173" i="8"/>
  <c r="C173" i="8" s="1"/>
  <c r="B172" i="8"/>
  <c r="C172" i="8" s="1"/>
  <c r="B171" i="8"/>
  <c r="C171" i="8" s="1"/>
  <c r="B170" i="8"/>
  <c r="C170" i="8" s="1"/>
  <c r="B169" i="8"/>
  <c r="C169" i="8" s="1"/>
  <c r="B168" i="8"/>
  <c r="C168" i="8" s="1"/>
  <c r="B167" i="8"/>
  <c r="C167" i="8" s="1"/>
  <c r="B166" i="8"/>
  <c r="C166" i="8" s="1"/>
  <c r="B165" i="8"/>
  <c r="C165" i="8" s="1"/>
  <c r="B164" i="8"/>
  <c r="C164" i="8" s="1"/>
  <c r="B163" i="8"/>
  <c r="C163" i="8" s="1"/>
  <c r="B162" i="8"/>
  <c r="C162" i="8" s="1"/>
  <c r="B161" i="8"/>
  <c r="C161" i="8" s="1"/>
  <c r="B160" i="8"/>
  <c r="C160" i="8" s="1"/>
  <c r="B159" i="8"/>
  <c r="C159" i="8" s="1"/>
  <c r="B158" i="8"/>
  <c r="C158" i="8" s="1"/>
  <c r="B157" i="8"/>
  <c r="C157" i="8" s="1"/>
  <c r="B156" i="8"/>
  <c r="C156" i="8" s="1"/>
  <c r="B155" i="8"/>
  <c r="C155" i="8" s="1"/>
  <c r="B154" i="8"/>
  <c r="C154" i="8" s="1"/>
  <c r="B153" i="8"/>
  <c r="C153" i="8" s="1"/>
  <c r="B152" i="8"/>
  <c r="C152" i="8" s="1"/>
  <c r="B151" i="8"/>
  <c r="C151" i="8" s="1"/>
  <c r="B150" i="8"/>
  <c r="C150" i="8" s="1"/>
  <c r="B149" i="8"/>
  <c r="C149" i="8" s="1"/>
  <c r="B148" i="8"/>
  <c r="C148" i="8" s="1"/>
  <c r="B147" i="8"/>
  <c r="C147" i="8" s="1"/>
  <c r="B146" i="8"/>
  <c r="C146" i="8" s="1"/>
  <c r="B145" i="8"/>
  <c r="C145" i="8" s="1"/>
  <c r="B144" i="8"/>
  <c r="C144" i="8" s="1"/>
  <c r="B143" i="8"/>
  <c r="C143" i="8" s="1"/>
  <c r="B142" i="8"/>
  <c r="C142" i="8" s="1"/>
  <c r="B141" i="8"/>
  <c r="C141" i="8" s="1"/>
  <c r="B140" i="8"/>
  <c r="C140" i="8" s="1"/>
  <c r="B139" i="8"/>
  <c r="C139" i="8" s="1"/>
  <c r="B138" i="8"/>
  <c r="C138" i="8" s="1"/>
  <c r="B137" i="8"/>
  <c r="C137" i="8" s="1"/>
  <c r="B136" i="8"/>
  <c r="C136" i="8" s="1"/>
  <c r="B135" i="8"/>
  <c r="C135" i="8" s="1"/>
  <c r="B134" i="8"/>
  <c r="C134" i="8" s="1"/>
  <c r="B133" i="8"/>
  <c r="C133" i="8" s="1"/>
  <c r="B132" i="8"/>
  <c r="C132" i="8" s="1"/>
  <c r="B131" i="8"/>
  <c r="C131" i="8" s="1"/>
  <c r="B130" i="8"/>
  <c r="C130" i="8" s="1"/>
  <c r="B129" i="8"/>
  <c r="C129" i="8" s="1"/>
  <c r="B128" i="8"/>
  <c r="C128" i="8" s="1"/>
  <c r="B127" i="8"/>
  <c r="C127" i="8" s="1"/>
  <c r="B126" i="8"/>
  <c r="C126" i="8" s="1"/>
  <c r="B125" i="8"/>
  <c r="C125" i="8" s="1"/>
  <c r="B124" i="8"/>
  <c r="C124" i="8" s="1"/>
  <c r="B123" i="8"/>
  <c r="C123" i="8" s="1"/>
  <c r="B122" i="8"/>
  <c r="C122" i="8" s="1"/>
  <c r="B121" i="8"/>
  <c r="C121" i="8" s="1"/>
  <c r="B120" i="8"/>
  <c r="C120" i="8" s="1"/>
  <c r="B119" i="8"/>
  <c r="C119" i="8" s="1"/>
  <c r="B118" i="8"/>
  <c r="C118" i="8" s="1"/>
  <c r="B117" i="8"/>
  <c r="C117" i="8" s="1"/>
  <c r="B116" i="8"/>
  <c r="C116" i="8" s="1"/>
  <c r="B115" i="8"/>
  <c r="C115" i="8" s="1"/>
  <c r="B114" i="8"/>
  <c r="C114" i="8" s="1"/>
  <c r="B113" i="8"/>
  <c r="C113" i="8" s="1"/>
  <c r="B112" i="8"/>
  <c r="C112" i="8" s="1"/>
  <c r="B111" i="8"/>
  <c r="C111" i="8" s="1"/>
  <c r="B110" i="8"/>
  <c r="C110" i="8" s="1"/>
  <c r="B109" i="8"/>
  <c r="C109" i="8" s="1"/>
  <c r="B108" i="8"/>
  <c r="C108" i="8" s="1"/>
  <c r="B107" i="8"/>
  <c r="C107" i="8" s="1"/>
  <c r="B106" i="8"/>
  <c r="C106" i="8" s="1"/>
  <c r="B105" i="8"/>
  <c r="C105" i="8" s="1"/>
  <c r="B104" i="8"/>
  <c r="C104" i="8" s="1"/>
  <c r="B103" i="8"/>
  <c r="C103" i="8" s="1"/>
  <c r="B102" i="8"/>
  <c r="C102" i="8" s="1"/>
  <c r="B101" i="8"/>
  <c r="C101" i="8" s="1"/>
  <c r="B100" i="8"/>
  <c r="C100" i="8" s="1"/>
  <c r="B99" i="8"/>
  <c r="C99" i="8" s="1"/>
  <c r="B98" i="8"/>
  <c r="C98" i="8" s="1"/>
  <c r="B97" i="8"/>
  <c r="C97" i="8" s="1"/>
  <c r="B96" i="8"/>
  <c r="C96" i="8" s="1"/>
  <c r="B95" i="8"/>
  <c r="C95" i="8" s="1"/>
  <c r="B94" i="8"/>
  <c r="C94" i="8" s="1"/>
  <c r="B93" i="8"/>
  <c r="C93" i="8" s="1"/>
  <c r="B92" i="8"/>
  <c r="C92" i="8" s="1"/>
  <c r="B91" i="8"/>
  <c r="C91" i="8" s="1"/>
  <c r="B90" i="8"/>
  <c r="C90" i="8" s="1"/>
  <c r="B89" i="8"/>
  <c r="C89" i="8" s="1"/>
  <c r="B88" i="8"/>
  <c r="C88" i="8" s="1"/>
  <c r="B87" i="8"/>
  <c r="C87" i="8" s="1"/>
  <c r="B86" i="8"/>
  <c r="C86" i="8" s="1"/>
  <c r="B85" i="8"/>
  <c r="C85" i="8" s="1"/>
  <c r="B84" i="8"/>
  <c r="C84" i="8" s="1"/>
  <c r="B83" i="8"/>
  <c r="C83" i="8" s="1"/>
  <c r="B82" i="8"/>
  <c r="C82" i="8" s="1"/>
  <c r="B81" i="8"/>
  <c r="C81" i="8" s="1"/>
  <c r="B80" i="8"/>
  <c r="C80" i="8" s="1"/>
  <c r="B79" i="8"/>
  <c r="C79" i="8" s="1"/>
  <c r="B78" i="8"/>
  <c r="C78" i="8" s="1"/>
  <c r="B77" i="8"/>
  <c r="C77" i="8" s="1"/>
  <c r="B76" i="8"/>
  <c r="C76" i="8" s="1"/>
  <c r="C75" i="8"/>
  <c r="B75" i="8"/>
  <c r="B74" i="8"/>
  <c r="C74" i="8" s="1"/>
  <c r="B73" i="8"/>
  <c r="C73" i="8" s="1"/>
  <c r="B72" i="8"/>
  <c r="C72" i="8" s="1"/>
  <c r="B71" i="8"/>
  <c r="C71" i="8" s="1"/>
  <c r="B70" i="8"/>
  <c r="C70" i="8" s="1"/>
  <c r="B69" i="8"/>
  <c r="C69" i="8" s="1"/>
  <c r="B68" i="8"/>
  <c r="C68" i="8" s="1"/>
  <c r="B67" i="8"/>
  <c r="C67" i="8" s="1"/>
  <c r="C66" i="8"/>
  <c r="B66" i="8"/>
  <c r="B65" i="8"/>
  <c r="C65" i="8" s="1"/>
  <c r="B64" i="8"/>
  <c r="C64" i="8" s="1"/>
  <c r="B63" i="8"/>
  <c r="C63" i="8" s="1"/>
  <c r="B62" i="8"/>
  <c r="C62" i="8" s="1"/>
  <c r="B61" i="8"/>
  <c r="C61" i="8" s="1"/>
  <c r="B60" i="8"/>
  <c r="C60" i="8" s="1"/>
  <c r="B59" i="8"/>
  <c r="C59" i="8" s="1"/>
  <c r="B58" i="8"/>
  <c r="C58" i="8" s="1"/>
  <c r="B57" i="8"/>
  <c r="C57" i="8" s="1"/>
  <c r="B56" i="8"/>
  <c r="C56" i="8" s="1"/>
  <c r="B55" i="8"/>
  <c r="C55" i="8" s="1"/>
  <c r="B54" i="8"/>
  <c r="C54" i="8" s="1"/>
  <c r="Q53" i="8"/>
  <c r="P53" i="8"/>
  <c r="O53" i="8"/>
  <c r="N53" i="8"/>
  <c r="M53" i="8"/>
  <c r="L53" i="8"/>
  <c r="B53" i="8"/>
  <c r="C53" i="8" s="1"/>
  <c r="Q52" i="8"/>
  <c r="P52" i="8"/>
  <c r="O52" i="8"/>
  <c r="N52" i="8"/>
  <c r="M52" i="8"/>
  <c r="L52" i="8"/>
  <c r="B52" i="8"/>
  <c r="C52" i="8" s="1"/>
  <c r="Q51" i="8"/>
  <c r="P51" i="8"/>
  <c r="O51" i="8"/>
  <c r="N51" i="8"/>
  <c r="M51" i="8"/>
  <c r="L51" i="8"/>
  <c r="B51" i="8"/>
  <c r="C51" i="8" s="1"/>
  <c r="Q50" i="8"/>
  <c r="P50" i="8"/>
  <c r="O50" i="8"/>
  <c r="N50" i="8"/>
  <c r="M50" i="8"/>
  <c r="L50" i="8"/>
  <c r="B50" i="8"/>
  <c r="C50" i="8" s="1"/>
  <c r="Q49" i="8"/>
  <c r="P49" i="8"/>
  <c r="O49" i="8"/>
  <c r="N49" i="8"/>
  <c r="M49" i="8"/>
  <c r="L49" i="8"/>
  <c r="B49" i="8"/>
  <c r="C49" i="8" s="1"/>
  <c r="Q48" i="8"/>
  <c r="P48" i="8"/>
  <c r="O48" i="8"/>
  <c r="N48" i="8"/>
  <c r="M48" i="8"/>
  <c r="L48" i="8"/>
  <c r="B48" i="8"/>
  <c r="C48" i="8" s="1"/>
  <c r="Q47" i="8"/>
  <c r="P47" i="8"/>
  <c r="O47" i="8"/>
  <c r="N47" i="8"/>
  <c r="M47" i="8"/>
  <c r="L47" i="8"/>
  <c r="B47" i="8"/>
  <c r="C47" i="8" s="1"/>
  <c r="Q46" i="8"/>
  <c r="P46" i="8"/>
  <c r="O46" i="8"/>
  <c r="N46" i="8"/>
  <c r="M46" i="8"/>
  <c r="L46" i="8"/>
  <c r="B46" i="8"/>
  <c r="C46" i="8" s="1"/>
  <c r="Q45" i="8"/>
  <c r="P45" i="8"/>
  <c r="O45" i="8"/>
  <c r="N45" i="8"/>
  <c r="M45" i="8"/>
  <c r="L45" i="8"/>
  <c r="B45" i="8"/>
  <c r="C45" i="8" s="1"/>
  <c r="Q44" i="8"/>
  <c r="P44" i="8"/>
  <c r="O44" i="8"/>
  <c r="N44" i="8"/>
  <c r="M44" i="8"/>
  <c r="L44" i="8"/>
  <c r="B44" i="8"/>
  <c r="C44" i="8" s="1"/>
  <c r="Q43" i="8"/>
  <c r="P43" i="8"/>
  <c r="O43" i="8"/>
  <c r="N43" i="8"/>
  <c r="M43" i="8"/>
  <c r="L43" i="8"/>
  <c r="B43" i="8"/>
  <c r="C43" i="8" s="1"/>
  <c r="Q42" i="8"/>
  <c r="P42" i="8"/>
  <c r="O42" i="8"/>
  <c r="N42" i="8"/>
  <c r="M42" i="8"/>
  <c r="L42" i="8"/>
  <c r="B42" i="8"/>
  <c r="C42" i="8" s="1"/>
  <c r="Q41" i="8"/>
  <c r="P41" i="8"/>
  <c r="O41" i="8"/>
  <c r="N41" i="8"/>
  <c r="M41" i="8"/>
  <c r="L41" i="8"/>
  <c r="B41" i="8"/>
  <c r="C41" i="8" s="1"/>
  <c r="Q40" i="8"/>
  <c r="P40" i="8"/>
  <c r="O40" i="8"/>
  <c r="N40" i="8"/>
  <c r="M40" i="8"/>
  <c r="L40" i="8"/>
  <c r="B40" i="8"/>
  <c r="C40" i="8" s="1"/>
  <c r="Q39" i="8"/>
  <c r="P39" i="8"/>
  <c r="O39" i="8"/>
  <c r="N39" i="8"/>
  <c r="M39" i="8"/>
  <c r="L39" i="8"/>
  <c r="B39" i="8"/>
  <c r="C39" i="8" s="1"/>
  <c r="Q38" i="8"/>
  <c r="P38" i="8"/>
  <c r="O38" i="8"/>
  <c r="N38" i="8"/>
  <c r="M38" i="8"/>
  <c r="L38" i="8"/>
  <c r="B38" i="8"/>
  <c r="C38" i="8" s="1"/>
  <c r="Q37" i="8"/>
  <c r="P37" i="8"/>
  <c r="O37" i="8"/>
  <c r="N37" i="8"/>
  <c r="M37" i="8"/>
  <c r="L37" i="8"/>
  <c r="B37" i="8"/>
  <c r="C37" i="8" s="1"/>
  <c r="Q36" i="8"/>
  <c r="P36" i="8"/>
  <c r="O36" i="8"/>
  <c r="N36" i="8"/>
  <c r="M36" i="8"/>
  <c r="L36" i="8"/>
  <c r="B36" i="8"/>
  <c r="C36" i="8" s="1"/>
  <c r="Q35" i="8"/>
  <c r="P35" i="8"/>
  <c r="O35" i="8"/>
  <c r="N35" i="8"/>
  <c r="M35" i="8"/>
  <c r="L35" i="8"/>
  <c r="B35" i="8"/>
  <c r="C35" i="8" s="1"/>
  <c r="Q34" i="8"/>
  <c r="P34" i="8"/>
  <c r="O34" i="8"/>
  <c r="N34" i="8"/>
  <c r="M34" i="8"/>
  <c r="L34" i="8"/>
  <c r="B34" i="8"/>
  <c r="C34" i="8" s="1"/>
  <c r="Q33" i="8"/>
  <c r="B33" i="8"/>
  <c r="C33" i="8" s="1"/>
  <c r="Q32" i="8"/>
  <c r="B32" i="8"/>
  <c r="C32" i="8" s="1"/>
  <c r="Q31" i="8"/>
  <c r="B31" i="8"/>
  <c r="C31" i="8" s="1"/>
  <c r="Q30" i="8"/>
  <c r="B30" i="8"/>
  <c r="C30" i="8" s="1"/>
  <c r="Q29" i="8"/>
  <c r="B29" i="8"/>
  <c r="C29" i="8" s="1"/>
  <c r="Q28" i="8"/>
  <c r="B28" i="8"/>
  <c r="C28" i="8" s="1"/>
  <c r="Q27" i="8"/>
  <c r="B27" i="8"/>
  <c r="C27" i="8" s="1"/>
  <c r="Q26" i="8"/>
  <c r="B26" i="8"/>
  <c r="C26" i="8" s="1"/>
  <c r="Q25" i="8"/>
  <c r="B25" i="8"/>
  <c r="C25" i="8" s="1"/>
  <c r="Q24" i="8"/>
  <c r="B24" i="8"/>
  <c r="C24" i="8" s="1"/>
  <c r="Q23" i="8"/>
  <c r="B23" i="8"/>
  <c r="C23" i="8" s="1"/>
  <c r="Q22" i="8"/>
  <c r="B22" i="8"/>
  <c r="C22" i="8" s="1"/>
  <c r="Q21" i="8"/>
  <c r="B21" i="8"/>
  <c r="C21" i="8" s="1"/>
  <c r="Q20" i="8"/>
  <c r="B20" i="8"/>
  <c r="C20" i="8" s="1"/>
  <c r="Q19" i="8"/>
  <c r="B19" i="8"/>
  <c r="C19" i="8" s="1"/>
  <c r="Q18" i="8"/>
  <c r="B18" i="8"/>
  <c r="C18" i="8" s="1"/>
  <c r="Q17" i="8"/>
  <c r="B17" i="8"/>
  <c r="C17" i="8" s="1"/>
  <c r="Q16" i="8"/>
  <c r="B16" i="8"/>
  <c r="C16" i="8" s="1"/>
  <c r="Q15" i="8"/>
  <c r="B15" i="8"/>
  <c r="C15" i="8" s="1"/>
  <c r="Q14" i="8"/>
  <c r="B14" i="8"/>
  <c r="C14" i="8" s="1"/>
  <c r="Q13" i="8"/>
  <c r="B13" i="8"/>
  <c r="C13" i="8" s="1"/>
  <c r="Q12" i="8"/>
  <c r="B12" i="8"/>
  <c r="C12" i="8" s="1"/>
  <c r="Q11" i="8"/>
  <c r="B11" i="8"/>
  <c r="C11" i="8" s="1"/>
  <c r="Q10" i="8"/>
  <c r="B10" i="8"/>
  <c r="C10" i="8" s="1"/>
  <c r="Q9" i="8"/>
  <c r="B9" i="8"/>
  <c r="C9" i="8" s="1"/>
  <c r="Q8" i="8"/>
  <c r="B8" i="8"/>
  <c r="C8" i="8" s="1"/>
  <c r="Q7" i="8"/>
  <c r="B7" i="8"/>
  <c r="Q6" i="8"/>
  <c r="B6" i="8"/>
  <c r="Q5" i="8"/>
  <c r="B5" i="8"/>
  <c r="Q4" i="8"/>
  <c r="C4" i="8"/>
  <c r="B4" i="8"/>
  <c r="AG31" i="7"/>
  <c r="AG30" i="7"/>
  <c r="AG29" i="7"/>
  <c r="AG28" i="7"/>
  <c r="AG27" i="7"/>
  <c r="AG26" i="7"/>
  <c r="AG25" i="7"/>
  <c r="AG24" i="7"/>
  <c r="AG23" i="7"/>
  <c r="AG22" i="7"/>
  <c r="AG21" i="7"/>
  <c r="AG20" i="7"/>
  <c r="AG19" i="7"/>
  <c r="AG18" i="7"/>
  <c r="AG17" i="7"/>
  <c r="AG16" i="7"/>
  <c r="AG15" i="7"/>
  <c r="AG14" i="7"/>
  <c r="AG13" i="7"/>
  <c r="AG12" i="7"/>
  <c r="AE8" i="7"/>
  <c r="AB8" i="7"/>
  <c r="Y8" i="7"/>
  <c r="S8" i="7"/>
  <c r="P8" i="7"/>
  <c r="O8" i="7"/>
  <c r="M8" i="7"/>
  <c r="L8" i="7"/>
  <c r="J8" i="7"/>
  <c r="G8" i="7"/>
  <c r="D8" i="7"/>
  <c r="B3" i="7"/>
  <c r="AC8" i="7" s="1"/>
  <c r="AG1" i="7"/>
  <c r="AK90" i="6"/>
  <c r="AK89" i="6"/>
  <c r="AK88" i="6"/>
  <c r="AK87" i="6"/>
  <c r="AK86" i="6"/>
  <c r="AK85" i="6"/>
  <c r="AK84" i="6"/>
  <c r="AK83" i="6"/>
  <c r="AK82" i="6"/>
  <c r="AK81" i="6"/>
  <c r="AK80" i="6"/>
  <c r="AK79" i="6"/>
  <c r="AK78" i="6"/>
  <c r="AK77" i="6"/>
  <c r="AK76" i="6"/>
  <c r="AK75" i="6"/>
  <c r="AK74" i="6"/>
  <c r="AK73" i="6"/>
  <c r="AK72" i="6"/>
  <c r="AK71" i="6"/>
  <c r="AK70" i="6"/>
  <c r="AK69" i="6"/>
  <c r="AK68" i="6"/>
  <c r="AK67" i="6"/>
  <c r="AK66" i="6"/>
  <c r="AK65" i="6"/>
  <c r="AK64" i="6"/>
  <c r="AK63" i="6"/>
  <c r="AK62" i="6"/>
  <c r="AK61" i="6"/>
  <c r="AK60" i="6"/>
  <c r="AB8" i="6"/>
  <c r="AB7" i="6"/>
  <c r="AB2" i="6"/>
  <c r="AB1" i="6"/>
  <c r="B30" i="5"/>
  <c r="B23" i="5"/>
  <c r="B27" i="5" s="1"/>
  <c r="B20" i="5"/>
  <c r="B8" i="5"/>
  <c r="B6" i="5"/>
  <c r="H6" i="4"/>
  <c r="H36" i="1" s="1"/>
  <c r="G6" i="4"/>
  <c r="G36" i="1" s="1"/>
  <c r="F6" i="4"/>
  <c r="F36" i="1" s="1"/>
  <c r="E6" i="4"/>
  <c r="E36" i="1" s="1"/>
  <c r="D6" i="4"/>
  <c r="D36" i="1" s="1"/>
  <c r="C6" i="4"/>
  <c r="C36" i="1" s="1"/>
  <c r="B6" i="4"/>
  <c r="B36" i="1" s="1"/>
  <c r="D82" i="3"/>
  <c r="C82" i="3"/>
  <c r="B82" i="3"/>
  <c r="D81" i="3"/>
  <c r="C81" i="3"/>
  <c r="B81" i="3"/>
  <c r="D80" i="3"/>
  <c r="C80" i="3"/>
  <c r="B80" i="3"/>
  <c r="D79" i="3"/>
  <c r="C79" i="3"/>
  <c r="B79" i="3"/>
  <c r="D78" i="3"/>
  <c r="C78" i="3"/>
  <c r="B78" i="3"/>
  <c r="D77" i="3"/>
  <c r="C77" i="3"/>
  <c r="B77" i="3"/>
  <c r="D76" i="3"/>
  <c r="C76" i="3"/>
  <c r="B76" i="3"/>
  <c r="D75" i="3"/>
  <c r="C75" i="3"/>
  <c r="B75" i="3"/>
  <c r="D74" i="3"/>
  <c r="C74" i="3"/>
  <c r="B74" i="3"/>
  <c r="D73" i="3"/>
  <c r="C73" i="3"/>
  <c r="B73" i="3"/>
  <c r="D72" i="3"/>
  <c r="C72" i="3"/>
  <c r="B72" i="3"/>
  <c r="D71" i="3"/>
  <c r="C71" i="3"/>
  <c r="B71" i="3"/>
  <c r="D70" i="3"/>
  <c r="C70" i="3"/>
  <c r="B70" i="3"/>
  <c r="D69" i="3"/>
  <c r="C69" i="3"/>
  <c r="B69" i="3"/>
  <c r="D68" i="3"/>
  <c r="C68" i="3"/>
  <c r="B68" i="3"/>
  <c r="D67" i="3"/>
  <c r="C67" i="3"/>
  <c r="B67" i="3"/>
  <c r="D66" i="3"/>
  <c r="C66" i="3"/>
  <c r="B66" i="3"/>
  <c r="D65" i="3"/>
  <c r="C65" i="3"/>
  <c r="B65" i="3"/>
  <c r="D64" i="3"/>
  <c r="C64" i="3"/>
  <c r="B64" i="3"/>
  <c r="D63" i="3"/>
  <c r="C63" i="3"/>
  <c r="B63" i="3"/>
  <c r="D40" i="3"/>
  <c r="B40" i="3"/>
  <c r="C29" i="3"/>
  <c r="C40" i="3" s="1"/>
  <c r="D28" i="3"/>
  <c r="C28" i="3"/>
  <c r="B28" i="3"/>
  <c r="D27" i="3"/>
  <c r="C27" i="3"/>
  <c r="B27" i="3"/>
  <c r="D26" i="3"/>
  <c r="C26" i="3"/>
  <c r="B26" i="3"/>
  <c r="D25" i="3"/>
  <c r="C25" i="3"/>
  <c r="B25" i="3"/>
  <c r="D23" i="3"/>
  <c r="C23" i="3"/>
  <c r="B23" i="3"/>
  <c r="D21" i="3"/>
  <c r="C21" i="3"/>
  <c r="B21" i="3"/>
  <c r="D20" i="3"/>
  <c r="D32" i="3" s="1"/>
  <c r="C20" i="3"/>
  <c r="C32" i="3" s="1"/>
  <c r="B20" i="3"/>
  <c r="B32" i="3" s="1"/>
  <c r="D19" i="3"/>
  <c r="C19" i="3"/>
  <c r="B19" i="3"/>
  <c r="B78" i="2"/>
  <c r="B18" i="2" s="1"/>
  <c r="B74" i="2"/>
  <c r="B53" i="2"/>
  <c r="B44" i="2"/>
  <c r="B42" i="2"/>
  <c r="B40" i="2"/>
  <c r="B38" i="2"/>
  <c r="B29" i="2"/>
  <c r="D6" i="1" s="1"/>
  <c r="U8" i="7" l="1"/>
  <c r="C8" i="7"/>
  <c r="V8" i="7"/>
  <c r="F8" i="7"/>
  <c r="AA8" i="7"/>
  <c r="I8" i="7"/>
  <c r="AD8" i="7"/>
  <c r="B19" i="12"/>
  <c r="B93" i="2"/>
  <c r="T8" i="7"/>
  <c r="B22" i="1"/>
  <c r="E10" i="1"/>
  <c r="R8" i="7"/>
  <c r="D24" i="12"/>
  <c r="D28" i="12"/>
  <c r="D32" i="12"/>
  <c r="D36" i="12"/>
  <c r="D40" i="12"/>
  <c r="D44" i="12"/>
  <c r="D48" i="12"/>
  <c r="D52" i="12"/>
  <c r="D25" i="12"/>
  <c r="D29" i="12"/>
  <c r="D33" i="12"/>
  <c r="D37" i="12"/>
  <c r="D41" i="12"/>
  <c r="D45" i="12"/>
  <c r="D49" i="12"/>
  <c r="H8" i="7"/>
  <c r="X8" i="7"/>
  <c r="D26" i="12"/>
  <c r="D30" i="12"/>
  <c r="D34" i="12"/>
  <c r="D38" i="12"/>
  <c r="D42" i="12"/>
  <c r="D46" i="12"/>
  <c r="D50" i="12"/>
  <c r="D23" i="12"/>
  <c r="D27" i="12"/>
  <c r="D31" i="12"/>
  <c r="D35" i="12"/>
  <c r="D39" i="12"/>
  <c r="D43" i="12"/>
  <c r="D47" i="12"/>
  <c r="C48" i="3"/>
  <c r="D48" i="3"/>
  <c r="B21" i="2"/>
  <c r="D18" i="9"/>
  <c r="D22" i="9"/>
  <c r="D26" i="9"/>
  <c r="D30" i="9"/>
  <c r="D34" i="9"/>
  <c r="F505" i="8"/>
  <c r="B48" i="3"/>
  <c r="E505" i="8"/>
  <c r="J28" i="9"/>
  <c r="B81" i="2"/>
  <c r="B82" i="2" s="1"/>
  <c r="D16" i="9"/>
  <c r="D20" i="9"/>
  <c r="E576" i="8"/>
  <c r="G437" i="8"/>
  <c r="J437" i="8"/>
  <c r="J34" i="9"/>
  <c r="F423" i="8"/>
  <c r="G31" i="9"/>
  <c r="B6" i="2"/>
  <c r="G478" i="8"/>
  <c r="F374" i="8"/>
  <c r="G374" i="8"/>
  <c r="F434" i="8"/>
  <c r="E472" i="8"/>
  <c r="F489" i="8"/>
  <c r="G548" i="8"/>
  <c r="G434" i="8"/>
  <c r="F472" i="8"/>
  <c r="G472" i="8"/>
  <c r="F577" i="8"/>
  <c r="J383" i="8"/>
  <c r="F540" i="8"/>
  <c r="J389" i="8"/>
  <c r="G392" i="8"/>
  <c r="G540" i="8"/>
  <c r="J512" i="8"/>
  <c r="F538" i="8"/>
  <c r="G16" i="9"/>
  <c r="G20" i="9"/>
  <c r="G24" i="9"/>
  <c r="J29" i="9"/>
  <c r="J33" i="9"/>
  <c r="J392" i="8"/>
  <c r="G490" i="8"/>
  <c r="G410" i="8"/>
  <c r="G459" i="8"/>
  <c r="G493" i="8"/>
  <c r="G536" i="8"/>
  <c r="J538" i="8"/>
  <c r="G567" i="8"/>
  <c r="F578" i="8"/>
  <c r="F368" i="8"/>
  <c r="J416" i="8"/>
  <c r="F531" i="8"/>
  <c r="J536" i="8"/>
  <c r="F576" i="8"/>
  <c r="J590" i="8"/>
  <c r="G368" i="8"/>
  <c r="E431" i="8"/>
  <c r="E508" i="8"/>
  <c r="G534" i="8"/>
  <c r="J15" i="9"/>
  <c r="J19" i="9"/>
  <c r="J23" i="9"/>
  <c r="F508" i="8"/>
  <c r="J31" i="9"/>
  <c r="B54" i="2"/>
  <c r="B56" i="2" s="1"/>
  <c r="D17" i="9"/>
  <c r="D21" i="9"/>
  <c r="D25" i="9"/>
  <c r="G30" i="9"/>
  <c r="F392" i="8"/>
  <c r="G439" i="8"/>
  <c r="G514" i="8"/>
  <c r="E534" i="8"/>
  <c r="F536" i="8"/>
  <c r="E558" i="8"/>
  <c r="F569" i="8"/>
  <c r="D15" i="9"/>
  <c r="D19" i="9"/>
  <c r="D23" i="9"/>
  <c r="D27" i="9"/>
  <c r="F419" i="8"/>
  <c r="E445" i="8"/>
  <c r="F507" i="8"/>
  <c r="J569" i="8"/>
  <c r="G575" i="8"/>
  <c r="E577" i="8"/>
  <c r="F414" i="8"/>
  <c r="F377" i="8"/>
  <c r="J398" i="8"/>
  <c r="F401" i="8"/>
  <c r="G440" i="8"/>
  <c r="G465" i="8"/>
  <c r="F487" i="8"/>
  <c r="J491" i="8"/>
  <c r="G530" i="8"/>
  <c r="G539" i="8"/>
  <c r="E541" i="8"/>
  <c r="F445" i="8"/>
  <c r="G377" i="8"/>
  <c r="G401" i="8"/>
  <c r="J425" i="8"/>
  <c r="E428" i="8"/>
  <c r="E463" i="8"/>
  <c r="F471" i="8"/>
  <c r="G487" i="8"/>
  <c r="F535" i="8"/>
  <c r="F554" i="8"/>
  <c r="E487" i="8"/>
  <c r="F428" i="8"/>
  <c r="F463" i="8"/>
  <c r="J476" i="8"/>
  <c r="J497" i="8"/>
  <c r="G535" i="8"/>
  <c r="F544" i="8"/>
  <c r="J565" i="8"/>
  <c r="G419" i="8"/>
  <c r="J575" i="8"/>
  <c r="J377" i="8"/>
  <c r="G428" i="8"/>
  <c r="G463" i="8"/>
  <c r="G544" i="8"/>
  <c r="J554" i="8"/>
  <c r="J18" i="9"/>
  <c r="E370" i="8"/>
  <c r="E490" i="8"/>
  <c r="E552" i="8"/>
  <c r="E601" i="8"/>
  <c r="D24" i="9"/>
  <c r="D28" i="9"/>
  <c r="G29" i="9"/>
  <c r="J30" i="9"/>
  <c r="F370" i="8"/>
  <c r="J407" i="8"/>
  <c r="F410" i="8"/>
  <c r="E434" i="8"/>
  <c r="F490" i="8"/>
  <c r="J506" i="8"/>
  <c r="G508" i="8"/>
  <c r="E531" i="8"/>
  <c r="E540" i="8"/>
  <c r="J544" i="8"/>
  <c r="J578" i="8"/>
  <c r="G590" i="8"/>
  <c r="F601" i="8"/>
  <c r="J32" i="9"/>
  <c r="F375" i="8"/>
  <c r="E388" i="8"/>
  <c r="F453" i="8"/>
  <c r="E481" i="8"/>
  <c r="F483" i="8"/>
  <c r="E502" i="8"/>
  <c r="E517" i="8"/>
  <c r="F519" i="8"/>
  <c r="E523" i="8"/>
  <c r="E549" i="8"/>
  <c r="F551" i="8"/>
  <c r="F581" i="8"/>
  <c r="F593" i="8"/>
  <c r="F595" i="8"/>
  <c r="F599" i="8"/>
  <c r="F365" i="8"/>
  <c r="F371" i="8"/>
  <c r="F386" i="8"/>
  <c r="F388" i="8"/>
  <c r="E397" i="8"/>
  <c r="F432" i="8"/>
  <c r="F481" i="8"/>
  <c r="F502" i="8"/>
  <c r="F517" i="8"/>
  <c r="F523" i="8"/>
  <c r="F549" i="8"/>
  <c r="G551" i="8"/>
  <c r="F553" i="8"/>
  <c r="G557" i="8"/>
  <c r="E574" i="8"/>
  <c r="G577" i="8"/>
  <c r="G581" i="8"/>
  <c r="G593" i="8"/>
  <c r="G595" i="8"/>
  <c r="G599" i="8"/>
  <c r="G601" i="8"/>
  <c r="G365" i="8"/>
  <c r="G371" i="8"/>
  <c r="G386" i="8"/>
  <c r="G388" i="8"/>
  <c r="F395" i="8"/>
  <c r="J401" i="8"/>
  <c r="J410" i="8"/>
  <c r="F417" i="8"/>
  <c r="J419" i="8"/>
  <c r="F426" i="8"/>
  <c r="E451" i="8"/>
  <c r="E475" i="8"/>
  <c r="F477" i="8"/>
  <c r="G481" i="8"/>
  <c r="J485" i="8"/>
  <c r="E496" i="8"/>
  <c r="J500" i="8"/>
  <c r="G502" i="8"/>
  <c r="E511" i="8"/>
  <c r="F513" i="8"/>
  <c r="G517" i="8"/>
  <c r="J521" i="8"/>
  <c r="G523" i="8"/>
  <c r="G549" i="8"/>
  <c r="G553" i="8"/>
  <c r="E559" i="8"/>
  <c r="E570" i="8"/>
  <c r="F572" i="8"/>
  <c r="F574" i="8"/>
  <c r="B48" i="2"/>
  <c r="B50" i="2" s="1"/>
  <c r="B62" i="2" s="1"/>
  <c r="C14" i="1" s="1"/>
  <c r="AB3" i="6"/>
  <c r="F380" i="8"/>
  <c r="E382" i="8"/>
  <c r="F384" i="8"/>
  <c r="G395" i="8"/>
  <c r="F404" i="8"/>
  <c r="F413" i="8"/>
  <c r="F422" i="8"/>
  <c r="E439" i="8"/>
  <c r="F451" i="8"/>
  <c r="E466" i="8"/>
  <c r="F475" i="8"/>
  <c r="F496" i="8"/>
  <c r="F511" i="8"/>
  <c r="F526" i="8"/>
  <c r="F533" i="8"/>
  <c r="J547" i="8"/>
  <c r="J551" i="8"/>
  <c r="J557" i="8"/>
  <c r="F559" i="8"/>
  <c r="G566" i="8"/>
  <c r="G570" i="8"/>
  <c r="G572" i="8"/>
  <c r="G574" i="8"/>
  <c r="J581" i="8"/>
  <c r="F584" i="8"/>
  <c r="J593" i="8"/>
  <c r="J599" i="8"/>
  <c r="J22" i="9"/>
  <c r="J26" i="9"/>
  <c r="D29" i="9"/>
  <c r="D33" i="9"/>
  <c r="J365" i="8"/>
  <c r="J371" i="8"/>
  <c r="G380" i="8"/>
  <c r="J386" i="8"/>
  <c r="G404" i="8"/>
  <c r="G413" i="8"/>
  <c r="G422" i="8"/>
  <c r="F439" i="8"/>
  <c r="F466" i="8"/>
  <c r="G475" i="8"/>
  <c r="J479" i="8"/>
  <c r="J494" i="8"/>
  <c r="G496" i="8"/>
  <c r="G511" i="8"/>
  <c r="J515" i="8"/>
  <c r="G526" i="8"/>
  <c r="G533" i="8"/>
  <c r="G559" i="8"/>
  <c r="G584" i="8"/>
  <c r="J395" i="8"/>
  <c r="G466" i="8"/>
  <c r="J572" i="8"/>
  <c r="J380" i="8"/>
  <c r="J404" i="8"/>
  <c r="J413" i="8"/>
  <c r="F420" i="8"/>
  <c r="J422" i="8"/>
  <c r="F431" i="8"/>
  <c r="E457" i="8"/>
  <c r="E469" i="8"/>
  <c r="E484" i="8"/>
  <c r="J488" i="8"/>
  <c r="E499" i="8"/>
  <c r="F501" i="8"/>
  <c r="G505" i="8"/>
  <c r="J509" i="8"/>
  <c r="E520" i="8"/>
  <c r="F522" i="8"/>
  <c r="J526" i="8"/>
  <c r="G531" i="8"/>
  <c r="J533" i="8"/>
  <c r="J539" i="8"/>
  <c r="F541" i="8"/>
  <c r="E556" i="8"/>
  <c r="F562" i="8"/>
  <c r="G576" i="8"/>
  <c r="G580" i="8"/>
  <c r="J584" i="8"/>
  <c r="F587" i="8"/>
  <c r="F596" i="8"/>
  <c r="E598" i="8"/>
  <c r="F602" i="8"/>
  <c r="J17" i="9"/>
  <c r="J21" i="9"/>
  <c r="J25" i="9"/>
  <c r="D32" i="9"/>
  <c r="E364" i="8"/>
  <c r="G370" i="8"/>
  <c r="F389" i="8"/>
  <c r="F398" i="8"/>
  <c r="F407" i="8"/>
  <c r="F416" i="8"/>
  <c r="F425" i="8"/>
  <c r="F429" i="8"/>
  <c r="G431" i="8"/>
  <c r="F435" i="8"/>
  <c r="F457" i="8"/>
  <c r="F469" i="8"/>
  <c r="F484" i="8"/>
  <c r="F499" i="8"/>
  <c r="F520" i="8"/>
  <c r="G522" i="8"/>
  <c r="J529" i="8"/>
  <c r="G541" i="8"/>
  <c r="F556" i="8"/>
  <c r="G562" i="8"/>
  <c r="G587" i="8"/>
  <c r="G596" i="8"/>
  <c r="F598" i="8"/>
  <c r="G602" i="8"/>
  <c r="G364" i="8"/>
  <c r="J368" i="8"/>
  <c r="J374" i="8"/>
  <c r="F383" i="8"/>
  <c r="G389" i="8"/>
  <c r="G398" i="8"/>
  <c r="G407" i="8"/>
  <c r="G416" i="8"/>
  <c r="G425" i="8"/>
  <c r="E442" i="8"/>
  <c r="F447" i="8"/>
  <c r="G469" i="8"/>
  <c r="E478" i="8"/>
  <c r="J482" i="8"/>
  <c r="G484" i="8"/>
  <c r="E493" i="8"/>
  <c r="F495" i="8"/>
  <c r="G499" i="8"/>
  <c r="J503" i="8"/>
  <c r="E514" i="8"/>
  <c r="J518" i="8"/>
  <c r="G520" i="8"/>
  <c r="G552" i="8"/>
  <c r="G554" i="8"/>
  <c r="F558" i="8"/>
  <c r="E567" i="8"/>
  <c r="G569" i="8"/>
  <c r="F571" i="8"/>
  <c r="G578" i="8"/>
  <c r="J580" i="8"/>
  <c r="C44" i="3"/>
  <c r="G383" i="8"/>
  <c r="F478" i="8"/>
  <c r="F493" i="8"/>
  <c r="F514" i="8"/>
  <c r="E538" i="8"/>
  <c r="J556" i="8"/>
  <c r="G558" i="8"/>
  <c r="J562" i="8"/>
  <c r="F567" i="8"/>
  <c r="G571" i="8"/>
  <c r="F575" i="8"/>
  <c r="J587" i="8"/>
  <c r="F590" i="8"/>
  <c r="J596" i="8"/>
  <c r="J602" i="8"/>
  <c r="G15" i="9"/>
  <c r="J16" i="9"/>
  <c r="J24" i="9"/>
  <c r="D31" i="9"/>
  <c r="G19" i="9"/>
  <c r="G23" i="9"/>
  <c r="G27" i="9"/>
  <c r="G18" i="9"/>
  <c r="G22" i="9"/>
  <c r="G26" i="9"/>
  <c r="G34" i="9"/>
  <c r="G17" i="9"/>
  <c r="G21" i="9"/>
  <c r="G25" i="9"/>
  <c r="G33" i="9"/>
  <c r="G28" i="9"/>
  <c r="G32" i="9"/>
  <c r="J20" i="9"/>
  <c r="J27" i="9"/>
  <c r="J532" i="8"/>
  <c r="G532" i="8"/>
  <c r="F532" i="8"/>
  <c r="E532" i="8"/>
  <c r="B24" i="3"/>
  <c r="AF90" i="6"/>
  <c r="AG90" i="6" s="1"/>
  <c r="AF78" i="6"/>
  <c r="AG78" i="6" s="1"/>
  <c r="AF83" i="6"/>
  <c r="AG83" i="6" s="1"/>
  <c r="AF81" i="6"/>
  <c r="AG81" i="6" s="1"/>
  <c r="AF86" i="6"/>
  <c r="AG86" i="6" s="1"/>
  <c r="AF84" i="6"/>
  <c r="AG84" i="6" s="1"/>
  <c r="AF72" i="6"/>
  <c r="AG72" i="6" s="1"/>
  <c r="AF85" i="6"/>
  <c r="AG85" i="6" s="1"/>
  <c r="AF74" i="6"/>
  <c r="AG74" i="6" s="1"/>
  <c r="AF70" i="6"/>
  <c r="AG70" i="6" s="1"/>
  <c r="AF79" i="6"/>
  <c r="AG79" i="6" s="1"/>
  <c r="AF67" i="6"/>
  <c r="AG67" i="6" s="1"/>
  <c r="AF60" i="6"/>
  <c r="AG60" i="6" s="1"/>
  <c r="AF87" i="6"/>
  <c r="AG87" i="6" s="1"/>
  <c r="AF73" i="6"/>
  <c r="AG73" i="6" s="1"/>
  <c r="AF69" i="6"/>
  <c r="AG69" i="6" s="1"/>
  <c r="AF63" i="6"/>
  <c r="AG63" i="6" s="1"/>
  <c r="AF88" i="6"/>
  <c r="AG88" i="6" s="1"/>
  <c r="AF77" i="6"/>
  <c r="AG77" i="6" s="1"/>
  <c r="AF61" i="6"/>
  <c r="AG61" i="6" s="1"/>
  <c r="AF89" i="6"/>
  <c r="AG89" i="6" s="1"/>
  <c r="AF66" i="6"/>
  <c r="AG66" i="6" s="1"/>
  <c r="AB9" i="6"/>
  <c r="AF82" i="6"/>
  <c r="AG82" i="6" s="1"/>
  <c r="AF76" i="6"/>
  <c r="AG76" i="6" s="1"/>
  <c r="AF71" i="6"/>
  <c r="AG71" i="6" s="1"/>
  <c r="AF68" i="6"/>
  <c r="AG68" i="6" s="1"/>
  <c r="J525" i="8"/>
  <c r="F525" i="8"/>
  <c r="E525" i="8"/>
  <c r="G525" i="8"/>
  <c r="C24" i="3"/>
  <c r="B44" i="3"/>
  <c r="C7" i="8"/>
  <c r="B106" i="2"/>
  <c r="C106" i="2" s="1"/>
  <c r="D106" i="2" s="1"/>
  <c r="E106" i="2" s="1"/>
  <c r="F106" i="2" s="1"/>
  <c r="G106" i="2" s="1"/>
  <c r="H106" i="2" s="1"/>
  <c r="I106" i="2" s="1"/>
  <c r="J106" i="2" s="1"/>
  <c r="K106" i="2" s="1"/>
  <c r="L106" i="2" s="1"/>
  <c r="M106" i="2" s="1"/>
  <c r="N106" i="2" s="1"/>
  <c r="O106" i="2" s="1"/>
  <c r="P106" i="2" s="1"/>
  <c r="Q106" i="2" s="1"/>
  <c r="R106" i="2" s="1"/>
  <c r="S106" i="2" s="1"/>
  <c r="T106" i="2" s="1"/>
  <c r="U106" i="2" s="1"/>
  <c r="V106" i="2" s="1"/>
  <c r="W106" i="2" s="1"/>
  <c r="X106" i="2" s="1"/>
  <c r="Y106" i="2" s="1"/>
  <c r="Z106" i="2" s="1"/>
  <c r="AA106" i="2" s="1"/>
  <c r="AB106" i="2" s="1"/>
  <c r="AC106" i="2" s="1"/>
  <c r="AD106" i="2" s="1"/>
  <c r="AE106" i="2" s="1"/>
  <c r="A33" i="5"/>
  <c r="B16" i="5"/>
  <c r="B41" i="5" s="1"/>
  <c r="B15" i="5"/>
  <c r="AF64" i="6"/>
  <c r="AG64" i="6" s="1"/>
  <c r="D44" i="3"/>
  <c r="AF65" i="6"/>
  <c r="AG65" i="6" s="1"/>
  <c r="AF80" i="6"/>
  <c r="AG80" i="6" s="1"/>
  <c r="B33" i="3"/>
  <c r="B34" i="3" s="1"/>
  <c r="B39" i="5"/>
  <c r="G22" i="1" s="1"/>
  <c r="B17" i="5"/>
  <c r="B40" i="5" s="1"/>
  <c r="C33" i="3"/>
  <c r="C34" i="3" s="1"/>
  <c r="D33" i="3"/>
  <c r="D34" i="3" s="1"/>
  <c r="D24" i="3"/>
  <c r="AF62" i="6"/>
  <c r="AG62" i="6" s="1"/>
  <c r="AF75" i="6"/>
  <c r="AG75" i="6" s="1"/>
  <c r="C5" i="8"/>
  <c r="C6" i="8"/>
  <c r="K8" i="7"/>
  <c r="W8" i="7"/>
  <c r="B8" i="7"/>
  <c r="N8" i="7"/>
  <c r="Z8" i="7"/>
  <c r="E8" i="7"/>
  <c r="Q8" i="7"/>
  <c r="J436" i="8"/>
  <c r="G436" i="8"/>
  <c r="E436" i="8"/>
  <c r="F436" i="8"/>
  <c r="J391" i="8"/>
  <c r="G391" i="8"/>
  <c r="F391" i="8"/>
  <c r="E391" i="8"/>
  <c r="J366" i="8"/>
  <c r="G366" i="8"/>
  <c r="F366" i="8"/>
  <c r="E366" i="8"/>
  <c r="J390" i="8"/>
  <c r="G390" i="8"/>
  <c r="E390" i="8"/>
  <c r="F390" i="8"/>
  <c r="J406" i="8"/>
  <c r="G406" i="8"/>
  <c r="F406" i="8"/>
  <c r="E406" i="8"/>
  <c r="J424" i="8"/>
  <c r="G424" i="8"/>
  <c r="F424" i="8"/>
  <c r="E424" i="8"/>
  <c r="J376" i="8"/>
  <c r="G376" i="8"/>
  <c r="E376" i="8"/>
  <c r="J378" i="8"/>
  <c r="E378" i="8"/>
  <c r="G378" i="8"/>
  <c r="F378" i="8"/>
  <c r="J400" i="8"/>
  <c r="G400" i="8"/>
  <c r="F400" i="8"/>
  <c r="E400" i="8"/>
  <c r="J418" i="8"/>
  <c r="G418" i="8"/>
  <c r="F418" i="8"/>
  <c r="E418" i="8"/>
  <c r="J385" i="8"/>
  <c r="G385" i="8"/>
  <c r="E385" i="8"/>
  <c r="J387" i="8"/>
  <c r="G387" i="8"/>
  <c r="E387" i="8"/>
  <c r="F387" i="8"/>
  <c r="J379" i="8"/>
  <c r="G379" i="8"/>
  <c r="F379" i="8"/>
  <c r="F385" i="8"/>
  <c r="F367" i="8"/>
  <c r="E367" i="8"/>
  <c r="J394" i="8"/>
  <c r="G394" i="8"/>
  <c r="F394" i="8"/>
  <c r="E394" i="8"/>
  <c r="G367" i="8"/>
  <c r="J369" i="8"/>
  <c r="G369" i="8"/>
  <c r="E369" i="8"/>
  <c r="J412" i="8"/>
  <c r="G412" i="8"/>
  <c r="F412" i="8"/>
  <c r="E412" i="8"/>
  <c r="J372" i="8"/>
  <c r="E372" i="8"/>
  <c r="J381" i="8"/>
  <c r="E381" i="8"/>
  <c r="J396" i="8"/>
  <c r="G396" i="8"/>
  <c r="E396" i="8"/>
  <c r="J402" i="8"/>
  <c r="G402" i="8"/>
  <c r="E402" i="8"/>
  <c r="J408" i="8"/>
  <c r="G408" i="8"/>
  <c r="E408" i="8"/>
  <c r="J430" i="8"/>
  <c r="G430" i="8"/>
  <c r="F372" i="8"/>
  <c r="F381" i="8"/>
  <c r="F396" i="8"/>
  <c r="F402" i="8"/>
  <c r="F408" i="8"/>
  <c r="E430" i="8"/>
  <c r="F364" i="8"/>
  <c r="E527" i="8"/>
  <c r="J527" i="8"/>
  <c r="G527" i="8"/>
  <c r="F527" i="8"/>
  <c r="J546" i="8"/>
  <c r="G546" i="8"/>
  <c r="E546" i="8"/>
  <c r="F546" i="8"/>
  <c r="J397" i="8"/>
  <c r="G397" i="8"/>
  <c r="J403" i="8"/>
  <c r="G403" i="8"/>
  <c r="J409" i="8"/>
  <c r="G409" i="8"/>
  <c r="J415" i="8"/>
  <c r="G415" i="8"/>
  <c r="J421" i="8"/>
  <c r="G421" i="8"/>
  <c r="J427" i="8"/>
  <c r="G427" i="8"/>
  <c r="J393" i="8"/>
  <c r="G393" i="8"/>
  <c r="E393" i="8"/>
  <c r="J399" i="8"/>
  <c r="G399" i="8"/>
  <c r="E399" i="8"/>
  <c r="E403" i="8"/>
  <c r="J405" i="8"/>
  <c r="G405" i="8"/>
  <c r="E405" i="8"/>
  <c r="E409" i="8"/>
  <c r="J411" i="8"/>
  <c r="G411" i="8"/>
  <c r="E411" i="8"/>
  <c r="E415" i="8"/>
  <c r="E421" i="8"/>
  <c r="E427" i="8"/>
  <c r="E373" i="8"/>
  <c r="F415" i="8"/>
  <c r="F421" i="8"/>
  <c r="F427" i="8"/>
  <c r="J433" i="8"/>
  <c r="G433" i="8"/>
  <c r="J441" i="8"/>
  <c r="E441" i="8"/>
  <c r="F373" i="8"/>
  <c r="J375" i="8"/>
  <c r="E375" i="8"/>
  <c r="F382" i="8"/>
  <c r="J384" i="8"/>
  <c r="E384" i="8"/>
  <c r="J568" i="8"/>
  <c r="G568" i="8"/>
  <c r="F568" i="8"/>
  <c r="J579" i="8"/>
  <c r="F579" i="8"/>
  <c r="E579" i="8"/>
  <c r="G373" i="8"/>
  <c r="G382" i="8"/>
  <c r="F433" i="8"/>
  <c r="G441" i="8"/>
  <c r="E568" i="8"/>
  <c r="G579" i="8"/>
  <c r="F443" i="8"/>
  <c r="E443" i="8"/>
  <c r="J447" i="8"/>
  <c r="E447" i="8"/>
  <c r="J453" i="8"/>
  <c r="E453" i="8"/>
  <c r="J459" i="8"/>
  <c r="E459" i="8"/>
  <c r="J465" i="8"/>
  <c r="E465" i="8"/>
  <c r="J471" i="8"/>
  <c r="E471" i="8"/>
  <c r="J477" i="8"/>
  <c r="E477" i="8"/>
  <c r="J483" i="8"/>
  <c r="E483" i="8"/>
  <c r="J489" i="8"/>
  <c r="E489" i="8"/>
  <c r="J495" i="8"/>
  <c r="E495" i="8"/>
  <c r="J501" i="8"/>
  <c r="E501" i="8"/>
  <c r="J507" i="8"/>
  <c r="E507" i="8"/>
  <c r="J513" i="8"/>
  <c r="E513" i="8"/>
  <c r="J519" i="8"/>
  <c r="E519" i="8"/>
  <c r="J550" i="8"/>
  <c r="G550" i="8"/>
  <c r="F550" i="8"/>
  <c r="J564" i="8"/>
  <c r="G564" i="8"/>
  <c r="E564" i="8"/>
  <c r="J586" i="8"/>
  <c r="G586" i="8"/>
  <c r="E586" i="8"/>
  <c r="E588" i="8"/>
  <c r="J588" i="8"/>
  <c r="G588" i="8"/>
  <c r="F588" i="8"/>
  <c r="G449" i="8"/>
  <c r="F449" i="8"/>
  <c r="E449" i="8"/>
  <c r="G455" i="8"/>
  <c r="F455" i="8"/>
  <c r="E455" i="8"/>
  <c r="G461" i="8"/>
  <c r="F461" i="8"/>
  <c r="E461" i="8"/>
  <c r="G467" i="8"/>
  <c r="F467" i="8"/>
  <c r="E467" i="8"/>
  <c r="G473" i="8"/>
  <c r="F473" i="8"/>
  <c r="E473" i="8"/>
  <c r="F586" i="8"/>
  <c r="J438" i="8"/>
  <c r="E438" i="8"/>
  <c r="J443" i="8"/>
  <c r="G445" i="8"/>
  <c r="J449" i="8"/>
  <c r="G451" i="8"/>
  <c r="J455" i="8"/>
  <c r="G457" i="8"/>
  <c r="J461" i="8"/>
  <c r="J467" i="8"/>
  <c r="J473" i="8"/>
  <c r="J528" i="8"/>
  <c r="G528" i="8"/>
  <c r="E528" i="8"/>
  <c r="E582" i="8"/>
  <c r="J582" i="8"/>
  <c r="G582" i="8"/>
  <c r="F582" i="8"/>
  <c r="E414" i="8"/>
  <c r="E417" i="8"/>
  <c r="E420" i="8"/>
  <c r="E423" i="8"/>
  <c r="E426" i="8"/>
  <c r="E429" i="8"/>
  <c r="E432" i="8"/>
  <c r="E435" i="8"/>
  <c r="G438" i="8"/>
  <c r="F440" i="8"/>
  <c r="F528" i="8"/>
  <c r="J573" i="8"/>
  <c r="G573" i="8"/>
  <c r="F573" i="8"/>
  <c r="E573" i="8"/>
  <c r="J444" i="8"/>
  <c r="E444" i="8"/>
  <c r="J450" i="8"/>
  <c r="E450" i="8"/>
  <c r="J456" i="8"/>
  <c r="E456" i="8"/>
  <c r="J462" i="8"/>
  <c r="E462" i="8"/>
  <c r="J468" i="8"/>
  <c r="E468" i="8"/>
  <c r="J474" i="8"/>
  <c r="E474" i="8"/>
  <c r="J480" i="8"/>
  <c r="E480" i="8"/>
  <c r="J486" i="8"/>
  <c r="E486" i="8"/>
  <c r="J492" i="8"/>
  <c r="E492" i="8"/>
  <c r="J498" i="8"/>
  <c r="E498" i="8"/>
  <c r="J504" i="8"/>
  <c r="E504" i="8"/>
  <c r="J510" i="8"/>
  <c r="E510" i="8"/>
  <c r="J516" i="8"/>
  <c r="E516" i="8"/>
  <c r="G414" i="8"/>
  <c r="G417" i="8"/>
  <c r="G420" i="8"/>
  <c r="G423" i="8"/>
  <c r="G426" i="8"/>
  <c r="G429" i="8"/>
  <c r="G432" i="8"/>
  <c r="G435" i="8"/>
  <c r="F442" i="8"/>
  <c r="F444" i="8"/>
  <c r="G446" i="8"/>
  <c r="F446" i="8"/>
  <c r="E446" i="8"/>
  <c r="E448" i="8"/>
  <c r="F450" i="8"/>
  <c r="G452" i="8"/>
  <c r="F452" i="8"/>
  <c r="E452" i="8"/>
  <c r="E454" i="8"/>
  <c r="F456" i="8"/>
  <c r="G458" i="8"/>
  <c r="F458" i="8"/>
  <c r="E458" i="8"/>
  <c r="E460" i="8"/>
  <c r="F462" i="8"/>
  <c r="G464" i="8"/>
  <c r="F464" i="8"/>
  <c r="E464" i="8"/>
  <c r="F468" i="8"/>
  <c r="G470" i="8"/>
  <c r="F470" i="8"/>
  <c r="E470" i="8"/>
  <c r="F474" i="8"/>
  <c r="F480" i="8"/>
  <c r="F486" i="8"/>
  <c r="F492" i="8"/>
  <c r="F498" i="8"/>
  <c r="F504" i="8"/>
  <c r="F510" i="8"/>
  <c r="F516" i="8"/>
  <c r="J555" i="8"/>
  <c r="G555" i="8"/>
  <c r="F555" i="8"/>
  <c r="E555" i="8"/>
  <c r="J561" i="8"/>
  <c r="F561" i="8"/>
  <c r="E561" i="8"/>
  <c r="E563" i="8"/>
  <c r="J563" i="8"/>
  <c r="G563" i="8"/>
  <c r="J592" i="8"/>
  <c r="F592" i="8"/>
  <c r="E592" i="8"/>
  <c r="E600" i="8"/>
  <c r="J600" i="8"/>
  <c r="G600" i="8"/>
  <c r="F600" i="8"/>
  <c r="E437" i="8"/>
  <c r="J440" i="8"/>
  <c r="G442" i="8"/>
  <c r="G444" i="8"/>
  <c r="F448" i="8"/>
  <c r="G450" i="8"/>
  <c r="F454" i="8"/>
  <c r="G456" i="8"/>
  <c r="F460" i="8"/>
  <c r="G462" i="8"/>
  <c r="G468" i="8"/>
  <c r="G474" i="8"/>
  <c r="G480" i="8"/>
  <c r="G486" i="8"/>
  <c r="G492" i="8"/>
  <c r="G498" i="8"/>
  <c r="G504" i="8"/>
  <c r="G510" i="8"/>
  <c r="G516" i="8"/>
  <c r="G561" i="8"/>
  <c r="F563" i="8"/>
  <c r="J583" i="8"/>
  <c r="G583" i="8"/>
  <c r="F583" i="8"/>
  <c r="G592" i="8"/>
  <c r="J446" i="8"/>
  <c r="G448" i="8"/>
  <c r="J452" i="8"/>
  <c r="G454" i="8"/>
  <c r="J458" i="8"/>
  <c r="G460" i="8"/>
  <c r="J464" i="8"/>
  <c r="J470" i="8"/>
  <c r="J537" i="8"/>
  <c r="G537" i="8"/>
  <c r="F537" i="8"/>
  <c r="E537" i="8"/>
  <c r="J543" i="8"/>
  <c r="F543" i="8"/>
  <c r="E543" i="8"/>
  <c r="E545" i="8"/>
  <c r="J545" i="8"/>
  <c r="G545" i="8"/>
  <c r="E583" i="8"/>
  <c r="E603" i="8"/>
  <c r="J603" i="8"/>
  <c r="G603" i="8"/>
  <c r="E522" i="8"/>
  <c r="F530" i="8"/>
  <c r="E535" i="8"/>
  <c r="F548" i="8"/>
  <c r="E553" i="8"/>
  <c r="F566" i="8"/>
  <c r="E571" i="8"/>
  <c r="E594" i="8"/>
  <c r="J594" i="8"/>
  <c r="G594" i="8"/>
  <c r="J530" i="8"/>
  <c r="J548" i="8"/>
  <c r="J566" i="8"/>
  <c r="E585" i="8"/>
  <c r="J585" i="8"/>
  <c r="G585" i="8"/>
  <c r="G598" i="8"/>
  <c r="E476" i="8"/>
  <c r="E479" i="8"/>
  <c r="E482" i="8"/>
  <c r="E485" i="8"/>
  <c r="E488" i="8"/>
  <c r="E491" i="8"/>
  <c r="E494" i="8"/>
  <c r="E497" i="8"/>
  <c r="E500" i="8"/>
  <c r="E503" i="8"/>
  <c r="E506" i="8"/>
  <c r="E509" i="8"/>
  <c r="E512" i="8"/>
  <c r="E515" i="8"/>
  <c r="E518" i="8"/>
  <c r="E521" i="8"/>
  <c r="F524" i="8"/>
  <c r="E529" i="8"/>
  <c r="F542" i="8"/>
  <c r="E547" i="8"/>
  <c r="F560" i="8"/>
  <c r="E565" i="8"/>
  <c r="F585" i="8"/>
  <c r="E589" i="8"/>
  <c r="F476" i="8"/>
  <c r="F479" i="8"/>
  <c r="F482" i="8"/>
  <c r="F485" i="8"/>
  <c r="F488" i="8"/>
  <c r="F491" i="8"/>
  <c r="F494" i="8"/>
  <c r="F497" i="8"/>
  <c r="F500" i="8"/>
  <c r="F503" i="8"/>
  <c r="F506" i="8"/>
  <c r="F509" i="8"/>
  <c r="F512" i="8"/>
  <c r="F515" i="8"/>
  <c r="F518" i="8"/>
  <c r="F521" i="8"/>
  <c r="G524" i="8"/>
  <c r="F529" i="8"/>
  <c r="G542" i="8"/>
  <c r="F547" i="8"/>
  <c r="G560" i="8"/>
  <c r="F565" i="8"/>
  <c r="F589" i="8"/>
  <c r="E591" i="8"/>
  <c r="J591" i="8"/>
  <c r="G591" i="8"/>
  <c r="F534" i="8"/>
  <c r="F539" i="8"/>
  <c r="F552" i="8"/>
  <c r="F557" i="8"/>
  <c r="F570" i="8"/>
  <c r="E580" i="8"/>
  <c r="G589" i="8"/>
  <c r="F591" i="8"/>
  <c r="E595" i="8"/>
  <c r="J524" i="8"/>
  <c r="J542" i="8"/>
  <c r="J560" i="8"/>
  <c r="E597" i="8"/>
  <c r="J597" i="8"/>
  <c r="G597" i="8"/>
  <c r="B8" i="2" l="1"/>
  <c r="G10" i="1"/>
  <c r="B105" i="2"/>
  <c r="C105" i="2" s="1"/>
  <c r="J6" i="2"/>
  <c r="K6" i="2" s="1"/>
  <c r="B64" i="2"/>
  <c r="B8" i="4" s="1"/>
  <c r="B49" i="2"/>
  <c r="N4" i="9"/>
  <c r="B55" i="2"/>
  <c r="B58" i="2"/>
  <c r="A57" i="2"/>
  <c r="B59" i="2"/>
  <c r="AI70" i="6" s="1"/>
  <c r="D8" i="2"/>
  <c r="C45" i="3"/>
  <c r="B32" i="6"/>
  <c r="C32" i="6" s="1"/>
  <c r="B28" i="6"/>
  <c r="C28" i="6" s="1"/>
  <c r="B31" i="6"/>
  <c r="C31" i="6" s="1"/>
  <c r="B27" i="6"/>
  <c r="C27" i="6" s="1"/>
  <c r="B30" i="6"/>
  <c r="C30" i="6" s="1"/>
  <c r="D30" i="6" s="1"/>
  <c r="B26" i="6"/>
  <c r="C26" i="6" s="1"/>
  <c r="D26" i="6" s="1"/>
  <c r="B7" i="6"/>
  <c r="B8" i="6" s="1"/>
  <c r="B33" i="6"/>
  <c r="C33" i="6" s="1"/>
  <c r="B29" i="6"/>
  <c r="C29" i="6" s="1"/>
  <c r="B6" i="6"/>
  <c r="D45" i="3"/>
  <c r="B19" i="2"/>
  <c r="C6" i="2" s="1"/>
  <c r="B42" i="5"/>
  <c r="AJ85" i="6"/>
  <c r="AH85" i="6"/>
  <c r="AJ68" i="6"/>
  <c r="AH68" i="6"/>
  <c r="AJ72" i="6"/>
  <c r="AH72" i="6"/>
  <c r="AJ78" i="6"/>
  <c r="AH78" i="6"/>
  <c r="AJ64" i="6"/>
  <c r="AH64" i="6"/>
  <c r="AJ71" i="6"/>
  <c r="AH71" i="6"/>
  <c r="AJ87" i="6"/>
  <c r="AH87" i="6"/>
  <c r="AH76" i="6"/>
  <c r="AJ76" i="6"/>
  <c r="AJ60" i="6"/>
  <c r="AH60" i="6"/>
  <c r="AH84" i="6"/>
  <c r="AJ84" i="6"/>
  <c r="AJ90" i="6"/>
  <c r="AH90" i="6"/>
  <c r="AH61" i="6"/>
  <c r="AJ61" i="6"/>
  <c r="AH82" i="6"/>
  <c r="AJ82" i="6"/>
  <c r="AJ77" i="6"/>
  <c r="AH77" i="6"/>
  <c r="AJ67" i="6"/>
  <c r="AH67" i="6"/>
  <c r="AJ86" i="6"/>
  <c r="AH86" i="6"/>
  <c r="AJ75" i="6"/>
  <c r="AH75" i="6"/>
  <c r="B45" i="3"/>
  <c r="AB11" i="6"/>
  <c r="AB12" i="6" s="1"/>
  <c r="AH88" i="6"/>
  <c r="AJ88" i="6"/>
  <c r="AJ62" i="6"/>
  <c r="AH62" i="6"/>
  <c r="AJ80" i="6"/>
  <c r="AH80" i="6"/>
  <c r="AJ66" i="6"/>
  <c r="AH66" i="6"/>
  <c r="AJ63" i="6"/>
  <c r="AH63" i="6"/>
  <c r="AH79" i="6"/>
  <c r="AJ79" i="6"/>
  <c r="AH81" i="6"/>
  <c r="AJ81" i="6"/>
  <c r="AH65" i="6"/>
  <c r="AJ65" i="6"/>
  <c r="AJ69" i="6"/>
  <c r="AH69" i="6"/>
  <c r="AH70" i="6"/>
  <c r="AJ70" i="6"/>
  <c r="AJ89" i="6"/>
  <c r="AH89" i="6"/>
  <c r="AJ73" i="6"/>
  <c r="AH73" i="6"/>
  <c r="AJ74" i="6"/>
  <c r="AH74" i="6"/>
  <c r="AJ83" i="6"/>
  <c r="AH83" i="6"/>
  <c r="B10" i="7" l="1"/>
  <c r="B11" i="7" s="1"/>
  <c r="AI80" i="6"/>
  <c r="AB15" i="6"/>
  <c r="B67" i="2"/>
  <c r="D7" i="4"/>
  <c r="D38" i="1" s="1"/>
  <c r="E8" i="4"/>
  <c r="AB10" i="6"/>
  <c r="AB13" i="6" s="1"/>
  <c r="AB14" i="6" s="1"/>
  <c r="B21" i="6" s="1"/>
  <c r="D26" i="1" s="1"/>
  <c r="F8" i="4"/>
  <c r="E7" i="4"/>
  <c r="AI83" i="6"/>
  <c r="AM83" i="6" s="1"/>
  <c r="B71" i="2"/>
  <c r="F7" i="4"/>
  <c r="G7" i="4"/>
  <c r="G8" i="4"/>
  <c r="E8" i="2"/>
  <c r="H7" i="4"/>
  <c r="H38" i="1" s="1"/>
  <c r="C8" i="4"/>
  <c r="D8" i="4"/>
  <c r="H8" i="4"/>
  <c r="AI68" i="6"/>
  <c r="AM68" i="6" s="1"/>
  <c r="D4" i="8"/>
  <c r="F4" i="8" s="1"/>
  <c r="B7" i="4"/>
  <c r="B38" i="1" s="1"/>
  <c r="C7" i="4"/>
  <c r="AI85" i="6"/>
  <c r="AU85" i="6" s="1"/>
  <c r="AI88" i="6"/>
  <c r="AS88" i="6" s="1"/>
  <c r="AI81" i="6"/>
  <c r="AU81" i="6" s="1"/>
  <c r="AI75" i="6"/>
  <c r="AS75" i="6" s="1"/>
  <c r="AI76" i="6"/>
  <c r="AM76" i="6" s="1"/>
  <c r="AI77" i="6"/>
  <c r="AQ77" i="6" s="1"/>
  <c r="AI61" i="6"/>
  <c r="AU61" i="6" s="1"/>
  <c r="AI74" i="6"/>
  <c r="AQ74" i="6" s="1"/>
  <c r="AI87" i="6"/>
  <c r="AM87" i="6" s="1"/>
  <c r="AI62" i="6"/>
  <c r="AS62" i="6" s="1"/>
  <c r="AI63" i="6"/>
  <c r="AP63" i="6" s="1"/>
  <c r="AI64" i="6"/>
  <c r="AP64" i="6" s="1"/>
  <c r="D37" i="3"/>
  <c r="B11" i="5"/>
  <c r="B97" i="2"/>
  <c r="B99" i="2" s="1"/>
  <c r="AB45" i="6" s="1"/>
  <c r="AI69" i="6"/>
  <c r="AU69" i="6" s="1"/>
  <c r="AI65" i="6"/>
  <c r="AS65" i="6" s="1"/>
  <c r="AI86" i="6"/>
  <c r="AM86" i="6" s="1"/>
  <c r="AI82" i="6"/>
  <c r="AQ82" i="6" s="1"/>
  <c r="AI78" i="6"/>
  <c r="AU78" i="6" s="1"/>
  <c r="AI71" i="6"/>
  <c r="AQ71" i="6" s="1"/>
  <c r="AI60" i="6"/>
  <c r="AU60" i="6" s="1"/>
  <c r="AI84" i="6"/>
  <c r="AN84" i="6" s="1"/>
  <c r="AI73" i="6"/>
  <c r="AO73" i="6" s="1"/>
  <c r="AI67" i="6"/>
  <c r="AU67" i="6" s="1"/>
  <c r="AI79" i="6"/>
  <c r="AM79" i="6" s="1"/>
  <c r="AI72" i="6"/>
  <c r="AL72" i="6" s="1"/>
  <c r="AI89" i="6"/>
  <c r="AR89" i="6" s="1"/>
  <c r="AI90" i="6"/>
  <c r="AN90" i="6" s="1"/>
  <c r="B37" i="3"/>
  <c r="AI66" i="6"/>
  <c r="AL66" i="6" s="1"/>
  <c r="D27" i="6"/>
  <c r="G27" i="6"/>
  <c r="D33" i="6"/>
  <c r="G33" i="6"/>
  <c r="D31" i="6"/>
  <c r="G31" i="6"/>
  <c r="D28" i="6"/>
  <c r="G28" i="6"/>
  <c r="D32" i="6"/>
  <c r="G32" i="6"/>
  <c r="D29" i="6"/>
  <c r="G29" i="6"/>
  <c r="G30" i="6"/>
  <c r="G26" i="6"/>
  <c r="AT81" i="6"/>
  <c r="C10" i="7"/>
  <c r="C11" i="7" s="1"/>
  <c r="D105" i="2"/>
  <c r="AR70" i="6"/>
  <c r="AN70" i="6"/>
  <c r="AS70" i="6"/>
  <c r="AP70" i="6"/>
  <c r="AU70" i="6"/>
  <c r="AM70" i="6"/>
  <c r="AL70" i="6"/>
  <c r="AQ70" i="6"/>
  <c r="AT70" i="6"/>
  <c r="AO70" i="6"/>
  <c r="AS77" i="6"/>
  <c r="AU77" i="6"/>
  <c r="AP77" i="6"/>
  <c r="AO80" i="6"/>
  <c r="AU80" i="6"/>
  <c r="AP80" i="6"/>
  <c r="AL80" i="6"/>
  <c r="AS80" i="6"/>
  <c r="AR80" i="6"/>
  <c r="AN80" i="6"/>
  <c r="AQ80" i="6"/>
  <c r="AM80" i="6"/>
  <c r="AT80" i="6"/>
  <c r="AP78" i="6"/>
  <c r="AB50" i="6" l="1"/>
  <c r="AO77" i="6"/>
  <c r="AR77" i="6"/>
  <c r="AS78" i="6"/>
  <c r="G10" i="4"/>
  <c r="G38" i="1"/>
  <c r="F10" i="4"/>
  <c r="F38" i="1"/>
  <c r="E10" i="4"/>
  <c r="E38" i="1"/>
  <c r="C10" i="4"/>
  <c r="C38" i="1"/>
  <c r="AN77" i="6"/>
  <c r="AL77" i="6"/>
  <c r="AT77" i="6"/>
  <c r="AM77" i="6"/>
  <c r="B68" i="2"/>
  <c r="B66" i="2" s="1"/>
  <c r="E14" i="1"/>
  <c r="C8" i="2"/>
  <c r="D14" i="1"/>
  <c r="AR87" i="6"/>
  <c r="AO79" i="6"/>
  <c r="AL61" i="6"/>
  <c r="AR79" i="6"/>
  <c r="AO87" i="6"/>
  <c r="AL86" i="6"/>
  <c r="AP84" i="6"/>
  <c r="AN63" i="6"/>
  <c r="AL84" i="6"/>
  <c r="AN87" i="6"/>
  <c r="AU63" i="6"/>
  <c r="AQ84" i="6"/>
  <c r="AQ78" i="6"/>
  <c r="AR84" i="6"/>
  <c r="AR63" i="6"/>
  <c r="AM84" i="6"/>
  <c r="AQ87" i="6"/>
  <c r="AM78" i="6"/>
  <c r="AU84" i="6"/>
  <c r="AT63" i="6"/>
  <c r="AT84" i="6"/>
  <c r="AT78" i="6"/>
  <c r="AL78" i="6"/>
  <c r="AO84" i="6"/>
  <c r="AO63" i="6"/>
  <c r="AN78" i="6"/>
  <c r="AR78" i="6"/>
  <c r="AS84" i="6"/>
  <c r="AM63" i="6"/>
  <c r="AS87" i="6"/>
  <c r="AU87" i="6"/>
  <c r="AM71" i="6"/>
  <c r="AP87" i="6"/>
  <c r="AO78" i="6"/>
  <c r="AP83" i="6"/>
  <c r="AO82" i="6"/>
  <c r="AL87" i="6"/>
  <c r="AP71" i="6"/>
  <c r="AT71" i="6"/>
  <c r="AU83" i="6"/>
  <c r="AO66" i="6"/>
  <c r="AT87" i="6"/>
  <c r="AS71" i="6"/>
  <c r="AR86" i="6"/>
  <c r="AO71" i="6"/>
  <c r="AO83" i="6"/>
  <c r="AL83" i="6"/>
  <c r="AQ83" i="6"/>
  <c r="AT83" i="6"/>
  <c r="AL62" i="6"/>
  <c r="E4" i="8"/>
  <c r="G4" i="8" s="1"/>
  <c r="AS83" i="6"/>
  <c r="AR83" i="6"/>
  <c r="AN83" i="6"/>
  <c r="AN71" i="6"/>
  <c r="AU71" i="6"/>
  <c r="AQ63" i="6"/>
  <c r="AL63" i="6"/>
  <c r="AQ64" i="6"/>
  <c r="AR71" i="6"/>
  <c r="AS63" i="6"/>
  <c r="AL85" i="6"/>
  <c r="AU73" i="6"/>
  <c r="AR85" i="6"/>
  <c r="AQ85" i="6"/>
  <c r="AO85" i="6"/>
  <c r="AP85" i="6"/>
  <c r="AT85" i="6"/>
  <c r="AN85" i="6"/>
  <c r="AS85" i="6"/>
  <c r="D10" i="4"/>
  <c r="AL60" i="6"/>
  <c r="AL71" i="6"/>
  <c r="AL79" i="6"/>
  <c r="AN79" i="6"/>
  <c r="AP79" i="6"/>
  <c r="AS79" i="6"/>
  <c r="AQ79" i="6"/>
  <c r="AT79" i="6"/>
  <c r="AO75" i="6"/>
  <c r="AT75" i="6"/>
  <c r="AN75" i="6"/>
  <c r="AP75" i="6"/>
  <c r="AL75" i="6"/>
  <c r="AP65" i="6"/>
  <c r="AL76" i="6"/>
  <c r="AQ75" i="6"/>
  <c r="AR75" i="6"/>
  <c r="AM65" i="6"/>
  <c r="AQ76" i="6"/>
  <c r="AL81" i="6"/>
  <c r="AO65" i="6"/>
  <c r="AL65" i="6"/>
  <c r="AU76" i="6"/>
  <c r="AU65" i="6"/>
  <c r="AO76" i="6"/>
  <c r="AR76" i="6"/>
  <c r="AB33" i="6"/>
  <c r="AR65" i="6"/>
  <c r="AQ65" i="6"/>
  <c r="AT76" i="6"/>
  <c r="AN65" i="6"/>
  <c r="AP76" i="6"/>
  <c r="AT65" i="6"/>
  <c r="AS76" i="6"/>
  <c r="AN76" i="6"/>
  <c r="AB48" i="6"/>
  <c r="AU79" i="6"/>
  <c r="AM75" i="6"/>
  <c r="AM85" i="6"/>
  <c r="AU75" i="6"/>
  <c r="H10" i="4"/>
  <c r="AP81" i="6"/>
  <c r="AQ81" i="6"/>
  <c r="AP86" i="6"/>
  <c r="AR90" i="6"/>
  <c r="AP82" i="6"/>
  <c r="AP66" i="6"/>
  <c r="AT61" i="6"/>
  <c r="AS68" i="6"/>
  <c r="AM82" i="6"/>
  <c r="AN66" i="6"/>
  <c r="AR61" i="6"/>
  <c r="AQ68" i="6"/>
  <c r="AS66" i="6"/>
  <c r="AN61" i="6"/>
  <c r="AT68" i="6"/>
  <c r="AR66" i="6"/>
  <c r="AQ61" i="6"/>
  <c r="AL68" i="6"/>
  <c r="AS82" i="6"/>
  <c r="AU66" i="6"/>
  <c r="AM61" i="6"/>
  <c r="AQ89" i="6"/>
  <c r="AN68" i="6"/>
  <c r="AO61" i="6"/>
  <c r="AU68" i="6"/>
  <c r="AR82" i="6"/>
  <c r="AS61" i="6"/>
  <c r="AU82" i="6"/>
  <c r="AQ66" i="6"/>
  <c r="AP61" i="6"/>
  <c r="AT86" i="6"/>
  <c r="AP90" i="6"/>
  <c r="AN82" i="6"/>
  <c r="AL82" i="6"/>
  <c r="AT66" i="6"/>
  <c r="AS90" i="6"/>
  <c r="AT82" i="6"/>
  <c r="AM66" i="6"/>
  <c r="AO86" i="6"/>
  <c r="AL90" i="6"/>
  <c r="AO81" i="6"/>
  <c r="AM90" i="6"/>
  <c r="AN86" i="6"/>
  <c r="AT90" i="6"/>
  <c r="AQ90" i="6"/>
  <c r="AU86" i="6"/>
  <c r="AO68" i="6"/>
  <c r="AN81" i="6"/>
  <c r="AS86" i="6"/>
  <c r="AR68" i="6"/>
  <c r="AR81" i="6"/>
  <c r="AQ86" i="6"/>
  <c r="AP68" i="6"/>
  <c r="AM81" i="6"/>
  <c r="AO74" i="6"/>
  <c r="AS81" i="6"/>
  <c r="AL88" i="6"/>
  <c r="AT74" i="6"/>
  <c r="AM88" i="6"/>
  <c r="AU72" i="6"/>
  <c r="AO72" i="6"/>
  <c r="AU88" i="6"/>
  <c r="AP88" i="6"/>
  <c r="AT88" i="6"/>
  <c r="AR88" i="6"/>
  <c r="AN88" i="6"/>
  <c r="AQ88" i="6"/>
  <c r="AO88" i="6"/>
  <c r="B10" i="4"/>
  <c r="AU90" i="6"/>
  <c r="AU62" i="6"/>
  <c r="AN60" i="6"/>
  <c r="AT62" i="6"/>
  <c r="AM60" i="6"/>
  <c r="AQ60" i="6"/>
  <c r="AP60" i="6"/>
  <c r="AP62" i="6"/>
  <c r="AN62" i="6"/>
  <c r="AT60" i="6"/>
  <c r="AO62" i="6"/>
  <c r="AO60" i="6"/>
  <c r="AP74" i="6"/>
  <c r="AQ62" i="6"/>
  <c r="AM62" i="6"/>
  <c r="AS60" i="6"/>
  <c r="AR62" i="6"/>
  <c r="AR60" i="6"/>
  <c r="AM74" i="6"/>
  <c r="AR74" i="6"/>
  <c r="AL74" i="6"/>
  <c r="AS74" i="6"/>
  <c r="AN73" i="6"/>
  <c r="AR73" i="6"/>
  <c r="AL64" i="6"/>
  <c r="AL73" i="6"/>
  <c r="AM64" i="6"/>
  <c r="AT73" i="6"/>
  <c r="AU64" i="6"/>
  <c r="AO64" i="6"/>
  <c r="AS64" i="6"/>
  <c r="AM73" i="6"/>
  <c r="AN64" i="6"/>
  <c r="AP73" i="6"/>
  <c r="AR64" i="6"/>
  <c r="AS73" i="6"/>
  <c r="AT64" i="6"/>
  <c r="AQ73" i="6"/>
  <c r="AU74" i="6"/>
  <c r="AN74" i="6"/>
  <c r="AO90" i="6"/>
  <c r="AR67" i="6"/>
  <c r="AQ67" i="6"/>
  <c r="AP67" i="6"/>
  <c r="AN67" i="6"/>
  <c r="AM67" i="6"/>
  <c r="AT67" i="6"/>
  <c r="AO67" i="6"/>
  <c r="AS67" i="6"/>
  <c r="AL67" i="6"/>
  <c r="J8" i="2"/>
  <c r="AU89" i="6"/>
  <c r="AB22" i="6"/>
  <c r="AS69" i="6"/>
  <c r="AB36" i="6"/>
  <c r="AM89" i="6"/>
  <c r="AN72" i="6"/>
  <c r="E27" i="6"/>
  <c r="F27" i="6" s="1"/>
  <c r="AQ69" i="6"/>
  <c r="AB47" i="6"/>
  <c r="AO89" i="6"/>
  <c r="G9" i="4"/>
  <c r="G37" i="1" s="1"/>
  <c r="AM72" i="6"/>
  <c r="E32" i="6"/>
  <c r="F32" i="6" s="1"/>
  <c r="AB25" i="6"/>
  <c r="AB32" i="6"/>
  <c r="AP69" i="6"/>
  <c r="AT89" i="6"/>
  <c r="G11" i="4"/>
  <c r="G39" i="1" s="1"/>
  <c r="AB40" i="6"/>
  <c r="AB29" i="6"/>
  <c r="AN69" i="6"/>
  <c r="AB20" i="6"/>
  <c r="AO69" i="6"/>
  <c r="AL89" i="6"/>
  <c r="AB43" i="6"/>
  <c r="AM69" i="6"/>
  <c r="AB23" i="6"/>
  <c r="AN89" i="6"/>
  <c r="AB41" i="6"/>
  <c r="AB27" i="6"/>
  <c r="AR69" i="6"/>
  <c r="AB31" i="6"/>
  <c r="AP89" i="6"/>
  <c r="AT72" i="6"/>
  <c r="F9" i="4"/>
  <c r="F37" i="1" s="1"/>
  <c r="E28" i="6"/>
  <c r="F28" i="6" s="1"/>
  <c r="AB30" i="6"/>
  <c r="AS89" i="6"/>
  <c r="AQ72" i="6"/>
  <c r="AB37" i="6"/>
  <c r="AT69" i="6"/>
  <c r="AL69" i="6"/>
  <c r="AB44" i="6"/>
  <c r="AC44" i="6" s="1"/>
  <c r="AB38" i="6"/>
  <c r="H11" i="4"/>
  <c r="H39" i="1" s="1"/>
  <c r="AP72" i="6"/>
  <c r="AB21" i="6"/>
  <c r="AB42" i="6"/>
  <c r="H9" i="4"/>
  <c r="H37" i="1" s="1"/>
  <c r="AS72" i="6"/>
  <c r="AB26" i="6"/>
  <c r="AR72" i="6"/>
  <c r="AB39" i="6"/>
  <c r="E30" i="6"/>
  <c r="F30" i="6" s="1"/>
  <c r="AB24" i="6"/>
  <c r="E26" i="6"/>
  <c r="F26" i="6" s="1"/>
  <c r="E31" i="6"/>
  <c r="F31" i="6" s="1"/>
  <c r="E11" i="4"/>
  <c r="E39" i="1" s="1"/>
  <c r="AB35" i="6"/>
  <c r="C11" i="4"/>
  <c r="C39" i="1" s="1"/>
  <c r="D9" i="4"/>
  <c r="D37" i="1" s="1"/>
  <c r="F11" i="4"/>
  <c r="F39" i="1" s="1"/>
  <c r="AB46" i="6"/>
  <c r="R108" i="2"/>
  <c r="AB108" i="2"/>
  <c r="K108" i="2"/>
  <c r="X108" i="2"/>
  <c r="B9" i="4"/>
  <c r="B37" i="1" s="1"/>
  <c r="J108" i="2"/>
  <c r="T108" i="2"/>
  <c r="C108" i="2"/>
  <c r="I108" i="2"/>
  <c r="N108" i="2"/>
  <c r="F108" i="2"/>
  <c r="P108" i="2"/>
  <c r="AB17" i="6"/>
  <c r="AB18" i="6" s="1"/>
  <c r="B108" i="2"/>
  <c r="L108" i="2"/>
  <c r="B13" i="5"/>
  <c r="B14" i="5" s="1"/>
  <c r="AC108" i="2"/>
  <c r="H108" i="2"/>
  <c r="C37" i="3"/>
  <c r="D108" i="2"/>
  <c r="AE108" i="2"/>
  <c r="E108" i="2"/>
  <c r="Y108" i="2"/>
  <c r="B11" i="4"/>
  <c r="B39" i="1" s="1"/>
  <c r="U108" i="2"/>
  <c r="Z108" i="2"/>
  <c r="Q108" i="2"/>
  <c r="AA108" i="2"/>
  <c r="S108" i="2"/>
  <c r="AD108" i="2"/>
  <c r="M108" i="2"/>
  <c r="W108" i="2"/>
  <c r="AB4" i="6"/>
  <c r="AB5" i="6" s="1"/>
  <c r="AB51" i="6"/>
  <c r="AC50" i="6" s="1"/>
  <c r="G108" i="2"/>
  <c r="V108" i="2"/>
  <c r="O108" i="2"/>
  <c r="B25" i="5"/>
  <c r="E9" i="4"/>
  <c r="E37" i="1" s="1"/>
  <c r="AB34" i="6"/>
  <c r="AB28" i="6"/>
  <c r="C9" i="4"/>
  <c r="C37" i="1" s="1"/>
  <c r="AB49" i="6"/>
  <c r="E29" i="6"/>
  <c r="F29" i="6" s="1"/>
  <c r="E33" i="6"/>
  <c r="F33" i="6" s="1"/>
  <c r="D11" i="4"/>
  <c r="D39" i="1" s="1"/>
  <c r="D10" i="7"/>
  <c r="D11" i="7" s="1"/>
  <c r="E105" i="2"/>
  <c r="AV80" i="6"/>
  <c r="AW80" i="6" s="1"/>
  <c r="AV70" i="6"/>
  <c r="AW70" i="6" s="1"/>
  <c r="AV77" i="6" l="1"/>
  <c r="AW77" i="6" s="1"/>
  <c r="B22" i="3"/>
  <c r="B35" i="3" s="1"/>
  <c r="D22" i="3"/>
  <c r="D35" i="3" s="1"/>
  <c r="C22" i="3"/>
  <c r="AC28" i="6"/>
  <c r="AV78" i="6"/>
  <c r="AW78" i="6" s="1"/>
  <c r="AV84" i="6"/>
  <c r="AW84" i="6" s="1"/>
  <c r="AV87" i="6"/>
  <c r="AW87" i="6" s="1"/>
  <c r="AV83" i="6"/>
  <c r="AW83" i="6" s="1"/>
  <c r="AC33" i="6"/>
  <c r="AC32" i="6"/>
  <c r="AV63" i="6"/>
  <c r="AW63" i="6" s="1"/>
  <c r="AV71" i="6"/>
  <c r="AW71" i="6" s="1"/>
  <c r="AX70" i="6" s="1"/>
  <c r="AV85" i="6"/>
  <c r="AW85" i="6" s="1"/>
  <c r="AV79" i="6"/>
  <c r="AW79" i="6" s="1"/>
  <c r="AC48" i="6"/>
  <c r="AC47" i="6"/>
  <c r="AV75" i="6"/>
  <c r="AW75" i="6" s="1"/>
  <c r="AV76" i="6"/>
  <c r="AW76" i="6" s="1"/>
  <c r="AX76" i="6" s="1"/>
  <c r="AV81" i="6"/>
  <c r="AW81" i="6" s="1"/>
  <c r="AX80" i="6" s="1"/>
  <c r="AV65" i="6"/>
  <c r="AW65" i="6" s="1"/>
  <c r="AC46" i="6"/>
  <c r="AV68" i="6"/>
  <c r="AW68" i="6" s="1"/>
  <c r="AV66" i="6"/>
  <c r="AW66" i="6" s="1"/>
  <c r="AV61" i="6"/>
  <c r="AW61" i="6" s="1"/>
  <c r="AV90" i="6"/>
  <c r="AW90" i="6" s="1"/>
  <c r="AV86" i="6"/>
  <c r="AW86" i="6" s="1"/>
  <c r="AV82" i="6"/>
  <c r="AW82" i="6" s="1"/>
  <c r="AV88" i="6"/>
  <c r="AW88" i="6" s="1"/>
  <c r="AC30" i="6"/>
  <c r="AC35" i="6"/>
  <c r="AV62" i="6"/>
  <c r="AW62" i="6" s="1"/>
  <c r="AV60" i="6"/>
  <c r="AW60" i="6" s="1"/>
  <c r="AV74" i="6"/>
  <c r="AW74" i="6" s="1"/>
  <c r="AC37" i="6"/>
  <c r="AC31" i="6"/>
  <c r="AV64" i="6"/>
  <c r="AW64" i="6" s="1"/>
  <c r="AC42" i="6"/>
  <c r="AC23" i="6"/>
  <c r="AC40" i="6"/>
  <c r="AV67" i="6"/>
  <c r="AW67" i="6" s="1"/>
  <c r="AV73" i="6"/>
  <c r="AW73" i="6" s="1"/>
  <c r="AC39" i="6"/>
  <c r="AC43" i="6"/>
  <c r="AC26" i="6"/>
  <c r="AC38" i="6"/>
  <c r="AV69" i="6"/>
  <c r="AW69" i="6" s="1"/>
  <c r="AC25" i="6"/>
  <c r="AC21" i="6"/>
  <c r="AV89" i="6"/>
  <c r="AW89" i="6" s="1"/>
  <c r="AV72" i="6"/>
  <c r="AW72" i="6" s="1"/>
  <c r="AC20" i="6"/>
  <c r="AC29" i="6"/>
  <c r="AC24" i="6"/>
  <c r="AC41" i="6"/>
  <c r="AC49" i="6"/>
  <c r="AC36" i="6"/>
  <c r="AC22" i="6"/>
  <c r="AC45" i="6"/>
  <c r="B12" i="6"/>
  <c r="C26" i="1" s="1"/>
  <c r="AB6" i="6"/>
  <c r="B13" i="6" s="1"/>
  <c r="AC34" i="6"/>
  <c r="B15" i="6"/>
  <c r="AB19" i="6"/>
  <c r="B16" i="6" s="1"/>
  <c r="AC27" i="6"/>
  <c r="E10" i="7"/>
  <c r="E11" i="7" s="1"/>
  <c r="F105" i="2"/>
  <c r="J4" i="8"/>
  <c r="I4" i="8" s="1"/>
  <c r="D5" i="8" s="1"/>
  <c r="AX77" i="6" l="1"/>
  <c r="AX86" i="6"/>
  <c r="F55" i="3"/>
  <c r="F61" i="3"/>
  <c r="F53" i="3"/>
  <c r="F57" i="3"/>
  <c r="F59" i="3"/>
  <c r="F54" i="3"/>
  <c r="D55" i="3" s="1"/>
  <c r="H7" i="9" s="1"/>
  <c r="J7" i="9" s="1"/>
  <c r="F62" i="3"/>
  <c r="F58" i="3"/>
  <c r="D59" i="3" s="1"/>
  <c r="H11" i="9" s="1"/>
  <c r="J11" i="9" s="1"/>
  <c r="F56" i="3"/>
  <c r="F60" i="3"/>
  <c r="D61" i="3" s="1"/>
  <c r="H13" i="9" s="1"/>
  <c r="J13" i="9" s="1"/>
  <c r="E60" i="3"/>
  <c r="E56" i="3"/>
  <c r="E55" i="3"/>
  <c r="E62" i="3"/>
  <c r="E54" i="3"/>
  <c r="E58" i="3"/>
  <c r="E59" i="3"/>
  <c r="E53" i="3"/>
  <c r="E57" i="3"/>
  <c r="B58" i="3" s="1"/>
  <c r="B10" i="9" s="1"/>
  <c r="D10" i="9" s="1"/>
  <c r="E61" i="3"/>
  <c r="B62" i="3" s="1"/>
  <c r="B14" i="9" s="1"/>
  <c r="AX78" i="6"/>
  <c r="AX62" i="6"/>
  <c r="AX87" i="6"/>
  <c r="AX84" i="6"/>
  <c r="AX83" i="6"/>
  <c r="AX82" i="6"/>
  <c r="AX79" i="6"/>
  <c r="AX64" i="6"/>
  <c r="AX68" i="6"/>
  <c r="AX67" i="6"/>
  <c r="AX60" i="6"/>
  <c r="AX74" i="6"/>
  <c r="AX75" i="6"/>
  <c r="AX88" i="6"/>
  <c r="AX85" i="6"/>
  <c r="AX65" i="6"/>
  <c r="AX81" i="6"/>
  <c r="AX73" i="6"/>
  <c r="AX61" i="6"/>
  <c r="AX63" i="6"/>
  <c r="AX66" i="6"/>
  <c r="AX72" i="6"/>
  <c r="AX69" i="6"/>
  <c r="AX71" i="6"/>
  <c r="AX89" i="6"/>
  <c r="AB16" i="6"/>
  <c r="B22" i="6" s="1"/>
  <c r="E26" i="1" s="1"/>
  <c r="I8" i="2"/>
  <c r="AX90" i="6"/>
  <c r="F5" i="8"/>
  <c r="E5" i="8"/>
  <c r="F10" i="7"/>
  <c r="F11" i="7" s="1"/>
  <c r="G105" i="2"/>
  <c r="D57" i="3" l="1"/>
  <c r="H9" i="9" s="1"/>
  <c r="J9" i="9" s="1"/>
  <c r="B61" i="3"/>
  <c r="B13" i="9" s="1"/>
  <c r="D13" i="9" s="1"/>
  <c r="B59" i="3"/>
  <c r="B11" i="9" s="1"/>
  <c r="D11" i="9" s="1"/>
  <c r="B57" i="3"/>
  <c r="B9" i="9" s="1"/>
  <c r="D9" i="9" s="1"/>
  <c r="F79" i="3"/>
  <c r="F74" i="3"/>
  <c r="F82" i="3"/>
  <c r="D39" i="3"/>
  <c r="D50" i="3" s="1"/>
  <c r="I14" i="9" s="1"/>
  <c r="F72" i="3"/>
  <c r="F78" i="3"/>
  <c r="F71" i="3"/>
  <c r="F66" i="3"/>
  <c r="F68" i="3"/>
  <c r="F80" i="3"/>
  <c r="F63" i="3"/>
  <c r="F69" i="3"/>
  <c r="F73" i="3"/>
  <c r="F76" i="3"/>
  <c r="F64" i="3"/>
  <c r="F77" i="3"/>
  <c r="F65" i="3"/>
  <c r="F81" i="3"/>
  <c r="F75" i="3"/>
  <c r="D85" i="3"/>
  <c r="F70" i="3"/>
  <c r="F67" i="3"/>
  <c r="B60" i="3"/>
  <c r="B12" i="9" s="1"/>
  <c r="D12" i="9" s="1"/>
  <c r="D60" i="3"/>
  <c r="H12" i="9" s="1"/>
  <c r="J12" i="9" s="1"/>
  <c r="D58" i="3"/>
  <c r="H10" i="9" s="1"/>
  <c r="J10" i="9" s="1"/>
  <c r="B55" i="3"/>
  <c r="B7" i="9" s="1"/>
  <c r="D7" i="9" s="1"/>
  <c r="D36" i="3"/>
  <c r="D53" i="3"/>
  <c r="D54" i="3"/>
  <c r="H6" i="9" s="1"/>
  <c r="J6" i="9" s="1"/>
  <c r="B36" i="3"/>
  <c r="B54" i="3"/>
  <c r="B6" i="9" s="1"/>
  <c r="D6" i="9" s="1"/>
  <c r="B53" i="3"/>
  <c r="E79" i="3"/>
  <c r="E67" i="3"/>
  <c r="E68" i="3"/>
  <c r="B85" i="3"/>
  <c r="E81" i="3"/>
  <c r="E71" i="3"/>
  <c r="E77" i="3"/>
  <c r="E78" i="3"/>
  <c r="B39" i="3"/>
  <c r="B50" i="3" s="1"/>
  <c r="C14" i="9" s="1"/>
  <c r="D14" i="9" s="1"/>
  <c r="E80" i="3"/>
  <c r="E72" i="3"/>
  <c r="E70" i="3"/>
  <c r="E76" i="3"/>
  <c r="E74" i="3"/>
  <c r="E82" i="3"/>
  <c r="E69" i="3"/>
  <c r="E66" i="3"/>
  <c r="E73" i="3"/>
  <c r="E65" i="3"/>
  <c r="E63" i="3"/>
  <c r="E75" i="3"/>
  <c r="E64" i="3"/>
  <c r="D62" i="3"/>
  <c r="H14" i="9" s="1"/>
  <c r="B56" i="3"/>
  <c r="B8" i="9" s="1"/>
  <c r="D8" i="9" s="1"/>
  <c r="D56" i="3"/>
  <c r="H8" i="9" s="1"/>
  <c r="J8" i="9" s="1"/>
  <c r="B40" i="6"/>
  <c r="K8" i="2"/>
  <c r="G10" i="7"/>
  <c r="G11" i="7" s="1"/>
  <c r="H105" i="2"/>
  <c r="G5" i="8"/>
  <c r="A41" i="6" l="1"/>
  <c r="F26" i="1"/>
  <c r="J14" i="9"/>
  <c r="B5" i="9"/>
  <c r="D5" i="9" s="1"/>
  <c r="B43" i="3"/>
  <c r="B33" i="1" s="1"/>
  <c r="B84" i="3"/>
  <c r="B30" i="1" s="1"/>
  <c r="B38" i="3"/>
  <c r="B47" i="3"/>
  <c r="H5" i="9"/>
  <c r="J5" i="9" s="1"/>
  <c r="D84" i="3"/>
  <c r="D30" i="1" s="1"/>
  <c r="D43" i="3"/>
  <c r="D33" i="1" s="1"/>
  <c r="D38" i="3"/>
  <c r="D47" i="3"/>
  <c r="L8" i="2"/>
  <c r="H10" i="7"/>
  <c r="H11" i="7" s="1"/>
  <c r="I105" i="2"/>
  <c r="J5" i="8"/>
  <c r="I5" i="8" s="1"/>
  <c r="D6" i="8" s="1"/>
  <c r="D38" i="9" l="1"/>
  <c r="B38" i="9"/>
  <c r="B40" i="9"/>
  <c r="B41" i="9"/>
  <c r="B39" i="9"/>
  <c r="D41" i="9"/>
  <c r="D39" i="9"/>
  <c r="D40" i="9"/>
  <c r="D49" i="3"/>
  <c r="B49" i="3"/>
  <c r="F6" i="8"/>
  <c r="E6" i="8"/>
  <c r="I10" i="7"/>
  <c r="I11" i="7" s="1"/>
  <c r="J105" i="2"/>
  <c r="D46" i="3" l="1"/>
  <c r="D32" i="1"/>
  <c r="B46" i="3"/>
  <c r="B32" i="1"/>
  <c r="F45" i="3"/>
  <c r="D31" i="1"/>
  <c r="F43" i="3"/>
  <c r="B31" i="1"/>
  <c r="G6" i="8"/>
  <c r="J6" i="8" s="1"/>
  <c r="I6" i="8" s="1"/>
  <c r="D7" i="8" s="1"/>
  <c r="K105" i="2"/>
  <c r="J10" i="7"/>
  <c r="J11" i="7" s="1"/>
  <c r="B50" i="5" l="1"/>
  <c r="B55" i="5" s="1"/>
  <c r="B51" i="5"/>
  <c r="B54" i="5" s="1"/>
  <c r="H22" i="1" s="1"/>
  <c r="K10" i="7"/>
  <c r="K11" i="7" s="1"/>
  <c r="L105" i="2"/>
  <c r="F7" i="8"/>
  <c r="E7" i="8"/>
  <c r="G7" i="8" l="1"/>
  <c r="L10" i="7"/>
  <c r="L11" i="7" s="1"/>
  <c r="M105" i="2"/>
  <c r="J7" i="8" l="1"/>
  <c r="I7" i="8" s="1"/>
  <c r="D8" i="8" s="1"/>
  <c r="N105" i="2"/>
  <c r="M10" i="7"/>
  <c r="M11" i="7" s="1"/>
  <c r="N10" i="7" l="1"/>
  <c r="N11" i="7" s="1"/>
  <c r="O105" i="2"/>
  <c r="F8" i="8"/>
  <c r="E8" i="8"/>
  <c r="G8" i="8" l="1"/>
  <c r="J8" i="8" s="1"/>
  <c r="I8" i="8" s="1"/>
  <c r="D9" i="8" s="1"/>
  <c r="O10" i="7"/>
  <c r="O11" i="7" s="1"/>
  <c r="P105" i="2"/>
  <c r="P10" i="7" l="1"/>
  <c r="P11" i="7" s="1"/>
  <c r="Q105" i="2"/>
  <c r="E9" i="8"/>
  <c r="F9" i="8"/>
  <c r="G9" i="8" l="1"/>
  <c r="J9" i="8" s="1"/>
  <c r="I9" i="8" s="1"/>
  <c r="D10" i="8" s="1"/>
  <c r="Q10" i="7"/>
  <c r="Q11" i="7" s="1"/>
  <c r="R105" i="2"/>
  <c r="R10" i="7" l="1"/>
  <c r="R11" i="7" s="1"/>
  <c r="S105" i="2"/>
  <c r="F10" i="8"/>
  <c r="E10" i="8"/>
  <c r="G10" i="8" l="1"/>
  <c r="J10" i="8" s="1"/>
  <c r="I10" i="8" s="1"/>
  <c r="D11" i="8" s="1"/>
  <c r="S10" i="7"/>
  <c r="S11" i="7" s="1"/>
  <c r="T105" i="2"/>
  <c r="T10" i="7" l="1"/>
  <c r="T11" i="7" s="1"/>
  <c r="U105" i="2"/>
  <c r="F11" i="8"/>
  <c r="E11" i="8"/>
  <c r="G11" i="8" l="1"/>
  <c r="J11" i="8" s="1"/>
  <c r="U10" i="7"/>
  <c r="U11" i="7" s="1"/>
  <c r="V105" i="2"/>
  <c r="I11" i="8" l="1"/>
  <c r="D12" i="8" s="1"/>
  <c r="F12" i="8" s="1"/>
  <c r="V10" i="7"/>
  <c r="V11" i="7" s="1"/>
  <c r="W105" i="2"/>
  <c r="E12" i="8" l="1"/>
  <c r="G12" i="8" s="1"/>
  <c r="J12" i="8" s="1"/>
  <c r="I12" i="8" s="1"/>
  <c r="D13" i="8" s="1"/>
  <c r="W10" i="7"/>
  <c r="W11" i="7" s="1"/>
  <c r="X105" i="2"/>
  <c r="X10" i="7" l="1"/>
  <c r="X11" i="7" s="1"/>
  <c r="Y105" i="2"/>
  <c r="F13" i="8"/>
  <c r="E13" i="8"/>
  <c r="G13" i="8" l="1"/>
  <c r="J13" i="8" s="1"/>
  <c r="I13" i="8" s="1"/>
  <c r="D14" i="8" s="1"/>
  <c r="Y10" i="7"/>
  <c r="Y11" i="7" s="1"/>
  <c r="Z105" i="2"/>
  <c r="Z10" i="7" l="1"/>
  <c r="Z11" i="7" s="1"/>
  <c r="AA105" i="2"/>
  <c r="F14" i="8"/>
  <c r="E14" i="8"/>
  <c r="G14" i="8" l="1"/>
  <c r="J14" i="8" s="1"/>
  <c r="I14" i="8" s="1"/>
  <c r="D15" i="8" s="1"/>
  <c r="AA10" i="7"/>
  <c r="AA11" i="7" s="1"/>
  <c r="AB105" i="2"/>
  <c r="AB10" i="7" l="1"/>
  <c r="AB11" i="7" s="1"/>
  <c r="AC105" i="2"/>
  <c r="E15" i="8"/>
  <c r="F15" i="8"/>
  <c r="G15" i="8" l="1"/>
  <c r="J15" i="8" s="1"/>
  <c r="I15" i="8" s="1"/>
  <c r="AC10" i="7"/>
  <c r="AC11" i="7" s="1"/>
  <c r="AD105" i="2"/>
  <c r="P4" i="8" l="1"/>
  <c r="D16" i="8"/>
  <c r="B113" i="2"/>
  <c r="B12" i="7" s="1"/>
  <c r="B13" i="7" s="1"/>
  <c r="AD10" i="7"/>
  <c r="AD11" i="7" s="1"/>
  <c r="AE105" i="2"/>
  <c r="AE10" i="7" l="1"/>
  <c r="AE11" i="7" s="1"/>
  <c r="E16" i="8"/>
  <c r="F16" i="8"/>
  <c r="G16" i="8" l="1"/>
  <c r="J16" i="8" s="1"/>
  <c r="I16" i="8" l="1"/>
  <c r="D17" i="8" s="1"/>
  <c r="F17" i="8" s="1"/>
  <c r="E17" i="8" l="1"/>
  <c r="G17" i="8" s="1"/>
  <c r="J17" i="8" l="1"/>
  <c r="I17" i="8" s="1"/>
  <c r="D18" i="8" s="1"/>
  <c r="E18" i="8" l="1"/>
  <c r="F18" i="8"/>
  <c r="G18" i="8" l="1"/>
  <c r="J18" i="8" s="1"/>
  <c r="I18" i="8" s="1"/>
  <c r="D19" i="8" s="1"/>
  <c r="F19" i="8" l="1"/>
  <c r="E19" i="8"/>
  <c r="G19" i="8" l="1"/>
  <c r="J19" i="8" l="1"/>
  <c r="I19" i="8" s="1"/>
  <c r="D20" i="8" s="1"/>
  <c r="F20" i="8" l="1"/>
  <c r="E20" i="8"/>
  <c r="G20" i="8" l="1"/>
  <c r="J20" i="8" l="1"/>
  <c r="I20" i="8" s="1"/>
  <c r="D21" i="8" s="1"/>
  <c r="E21" i="8" l="1"/>
  <c r="F21" i="8"/>
  <c r="G21" i="8" l="1"/>
  <c r="J21" i="8" s="1"/>
  <c r="I21" i="8" s="1"/>
  <c r="D22" i="8" s="1"/>
  <c r="E22" i="8" l="1"/>
  <c r="F22" i="8"/>
  <c r="G22" i="8" l="1"/>
  <c r="J22" i="8" s="1"/>
  <c r="I22" i="8" s="1"/>
  <c r="D23" i="8" s="1"/>
  <c r="F23" i="8" l="1"/>
  <c r="E23" i="8"/>
  <c r="G23" i="8" l="1"/>
  <c r="J23" i="8" s="1"/>
  <c r="I23" i="8" s="1"/>
  <c r="D24" i="8" s="1"/>
  <c r="E24" i="8" l="1"/>
  <c r="F24" i="8"/>
  <c r="G24" i="8" l="1"/>
  <c r="J24" i="8" s="1"/>
  <c r="I24" i="8" l="1"/>
  <c r="D25" i="8" s="1"/>
  <c r="F25" i="8" s="1"/>
  <c r="E25" i="8" l="1"/>
  <c r="G25" i="8" s="1"/>
  <c r="J25" i="8" s="1"/>
  <c r="I25" i="8" s="1"/>
  <c r="D26" i="8" s="1"/>
  <c r="F26" i="8" l="1"/>
  <c r="E26" i="8"/>
  <c r="G26" i="8" l="1"/>
  <c r="J26" i="8" s="1"/>
  <c r="I26" i="8" s="1"/>
  <c r="D27" i="8" s="1"/>
  <c r="E27" i="8" l="1"/>
  <c r="F27" i="8"/>
  <c r="G27" i="8" l="1"/>
  <c r="J27" i="8" s="1"/>
  <c r="I27" i="8" s="1"/>
  <c r="P5" i="8" l="1"/>
  <c r="C113" i="2"/>
  <c r="C12" i="7" s="1"/>
  <c r="C13" i="7" s="1"/>
  <c r="D28" i="8"/>
  <c r="E28" i="8" l="1"/>
  <c r="F28" i="8"/>
  <c r="G28" i="8" l="1"/>
  <c r="J28" i="8" l="1"/>
  <c r="I28" i="8" s="1"/>
  <c r="D29" i="8" s="1"/>
  <c r="F29" i="8" l="1"/>
  <c r="E29" i="8"/>
  <c r="G29" i="8" l="1"/>
  <c r="J29" i="8" l="1"/>
  <c r="I29" i="8" s="1"/>
  <c r="D30" i="8" s="1"/>
  <c r="E30" i="8" l="1"/>
  <c r="F30" i="8"/>
  <c r="G30" i="8" l="1"/>
  <c r="J30" i="8" s="1"/>
  <c r="I30" i="8" s="1"/>
  <c r="D31" i="8" s="1"/>
  <c r="F31" i="8" l="1"/>
  <c r="E31" i="8"/>
  <c r="G31" i="8" l="1"/>
  <c r="J31" i="8" l="1"/>
  <c r="I31" i="8" s="1"/>
  <c r="D32" i="8" s="1"/>
  <c r="F32" i="8" l="1"/>
  <c r="E32" i="8"/>
  <c r="G32" i="8" l="1"/>
  <c r="J32" i="8" l="1"/>
  <c r="I32" i="8" s="1"/>
  <c r="D33" i="8" s="1"/>
  <c r="E33" i="8" l="1"/>
  <c r="F33" i="8"/>
  <c r="G33" i="8" l="1"/>
  <c r="J33" i="8" s="1"/>
  <c r="I33" i="8" s="1"/>
  <c r="D34" i="8" s="1"/>
  <c r="F34" i="8" l="1"/>
  <c r="E34" i="8"/>
  <c r="G34" i="8" l="1"/>
  <c r="J34" i="8" s="1"/>
  <c r="I34" i="8" s="1"/>
  <c r="D35" i="8" s="1"/>
  <c r="F35" i="8" l="1"/>
  <c r="E35" i="8"/>
  <c r="G35" i="8" l="1"/>
  <c r="J35" i="8" s="1"/>
  <c r="I35" i="8" l="1"/>
  <c r="D36" i="8" s="1"/>
  <c r="E36" i="8" s="1"/>
  <c r="F36" i="8" l="1"/>
  <c r="G36" i="8" s="1"/>
  <c r="J36" i="8" s="1"/>
  <c r="I36" i="8" s="1"/>
  <c r="D37" i="8" s="1"/>
  <c r="F37" i="8" l="1"/>
  <c r="E37" i="8"/>
  <c r="G37" i="8" l="1"/>
  <c r="J37" i="8" s="1"/>
  <c r="I37" i="8" s="1"/>
  <c r="D38" i="8" s="1"/>
  <c r="F38" i="8" l="1"/>
  <c r="E38" i="8"/>
  <c r="G38" i="8" l="1"/>
  <c r="J38" i="8" s="1"/>
  <c r="I38" i="8" s="1"/>
  <c r="D39" i="8" s="1"/>
  <c r="E39" i="8" l="1"/>
  <c r="F39" i="8"/>
  <c r="G39" i="8" l="1"/>
  <c r="J39" i="8" s="1"/>
  <c r="I39" i="8" s="1"/>
  <c r="P6" i="8" l="1"/>
  <c r="D40" i="8"/>
  <c r="D113" i="2"/>
  <c r="D12" i="7" s="1"/>
  <c r="D13" i="7" s="1"/>
  <c r="F40" i="8" l="1"/>
  <c r="E40" i="8"/>
  <c r="G40" i="8" l="1"/>
  <c r="J40" i="8" l="1"/>
  <c r="I40" i="8" s="1"/>
  <c r="D41" i="8" s="1"/>
  <c r="F41" i="8" l="1"/>
  <c r="E41" i="8"/>
  <c r="G41" i="8" l="1"/>
  <c r="J41" i="8" l="1"/>
  <c r="I41" i="8" s="1"/>
  <c r="D42" i="8" s="1"/>
  <c r="E42" i="8" l="1"/>
  <c r="F42" i="8"/>
  <c r="G42" i="8" l="1"/>
  <c r="J42" i="8" s="1"/>
  <c r="I42" i="8" s="1"/>
  <c r="D43" i="8" s="1"/>
  <c r="F43" i="8" l="1"/>
  <c r="E43" i="8"/>
  <c r="G43" i="8" l="1"/>
  <c r="J43" i="8" l="1"/>
  <c r="I43" i="8" s="1"/>
  <c r="D44" i="8" s="1"/>
  <c r="F44" i="8" l="1"/>
  <c r="E44" i="8"/>
  <c r="G44" i="8" l="1"/>
  <c r="J44" i="8" s="1"/>
  <c r="I44" i="8" s="1"/>
  <c r="D45" i="8" s="1"/>
  <c r="E45" i="8" l="1"/>
  <c r="F45" i="8"/>
  <c r="G45" i="8" l="1"/>
  <c r="J45" i="8" s="1"/>
  <c r="I45" i="8" s="1"/>
  <c r="D46" i="8" s="1"/>
  <c r="F46" i="8" l="1"/>
  <c r="E46" i="8"/>
  <c r="G46" i="8" l="1"/>
  <c r="J46" i="8" s="1"/>
  <c r="I46" i="8" s="1"/>
  <c r="D47" i="8" s="1"/>
  <c r="F47" i="8" l="1"/>
  <c r="E47" i="8"/>
  <c r="G47" i="8" l="1"/>
  <c r="J47" i="8" s="1"/>
  <c r="I47" i="8" s="1"/>
  <c r="D48" i="8" s="1"/>
  <c r="E48" i="8" l="1"/>
  <c r="F48" i="8"/>
  <c r="G48" i="8" l="1"/>
  <c r="J48" i="8" s="1"/>
  <c r="I48" i="8" s="1"/>
  <c r="D49" i="8" s="1"/>
  <c r="E49" i="8" l="1"/>
  <c r="F49" i="8"/>
  <c r="G49" i="8" l="1"/>
  <c r="J49" i="8" s="1"/>
  <c r="I49" i="8" s="1"/>
  <c r="D50" i="8" s="1"/>
  <c r="F50" i="8" l="1"/>
  <c r="E50" i="8"/>
  <c r="G50" i="8" l="1"/>
  <c r="J50" i="8" s="1"/>
  <c r="I50" i="8" s="1"/>
  <c r="D51" i="8" s="1"/>
  <c r="F51" i="8" l="1"/>
  <c r="E51" i="8"/>
  <c r="G51" i="8" l="1"/>
  <c r="J51" i="8" s="1"/>
  <c r="I51" i="8" s="1"/>
  <c r="D52" i="8" l="1"/>
  <c r="P7" i="8"/>
  <c r="E113" i="2"/>
  <c r="E12" i="7" s="1"/>
  <c r="E13" i="7" s="1"/>
  <c r="E52" i="8" l="1"/>
  <c r="F52" i="8"/>
  <c r="G52" i="8" l="1"/>
  <c r="J52" i="8" l="1"/>
  <c r="I52" i="8" s="1"/>
  <c r="D53" i="8" s="1"/>
  <c r="F53" i="8" l="1"/>
  <c r="E53" i="8"/>
  <c r="G53" i="8" l="1"/>
  <c r="J53" i="8" l="1"/>
  <c r="I53" i="8" s="1"/>
  <c r="D54" i="8" s="1"/>
  <c r="E54" i="8" l="1"/>
  <c r="F54" i="8"/>
  <c r="G54" i="8" l="1"/>
  <c r="J54" i="8" s="1"/>
  <c r="I54" i="8" s="1"/>
  <c r="D55" i="8" s="1"/>
  <c r="E55" i="8" l="1"/>
  <c r="F55" i="8"/>
  <c r="G55" i="8" l="1"/>
  <c r="J55" i="8" l="1"/>
  <c r="I55" i="8" s="1"/>
  <c r="D56" i="8" s="1"/>
  <c r="E56" i="8" l="1"/>
  <c r="F56" i="8"/>
  <c r="G56" i="8" l="1"/>
  <c r="J56" i="8" s="1"/>
  <c r="I56" i="8" l="1"/>
  <c r="D57" i="8" s="1"/>
  <c r="E57" i="8" s="1"/>
  <c r="F57" i="8" l="1"/>
  <c r="G57" i="8" s="1"/>
  <c r="J57" i="8" s="1"/>
  <c r="I57" i="8" s="1"/>
  <c r="D58" i="8" s="1"/>
  <c r="E58" i="8" l="1"/>
  <c r="F58" i="8"/>
  <c r="G58" i="8" l="1"/>
  <c r="J58" i="8" s="1"/>
  <c r="I58" i="8" l="1"/>
  <c r="D59" i="8" s="1"/>
  <c r="E59" i="8" s="1"/>
  <c r="F59" i="8" l="1"/>
  <c r="G59" i="8" s="1"/>
  <c r="J59" i="8" s="1"/>
  <c r="I59" i="8" s="1"/>
  <c r="D60" i="8" s="1"/>
  <c r="E60" i="8" l="1"/>
  <c r="F60" i="8"/>
  <c r="G60" i="8" l="1"/>
  <c r="J60" i="8" s="1"/>
  <c r="I60" i="8" s="1"/>
  <c r="D61" i="8" s="1"/>
  <c r="E61" i="8" l="1"/>
  <c r="F61" i="8"/>
  <c r="G61" i="8" l="1"/>
  <c r="J61" i="8" s="1"/>
  <c r="I61" i="8" s="1"/>
  <c r="D62" i="8" s="1"/>
  <c r="E62" i="8" l="1"/>
  <c r="F62" i="8"/>
  <c r="G62" i="8" l="1"/>
  <c r="J62" i="8" s="1"/>
  <c r="I62" i="8" s="1"/>
  <c r="D63" i="8" s="1"/>
  <c r="E63" i="8" l="1"/>
  <c r="F63" i="8"/>
  <c r="G63" i="8" l="1"/>
  <c r="J63" i="8" s="1"/>
  <c r="I63" i="8" l="1"/>
  <c r="D64" i="8" s="1"/>
  <c r="F113" i="2" l="1"/>
  <c r="F12" i="7" s="1"/>
  <c r="F13" i="7" s="1"/>
  <c r="P8" i="8"/>
  <c r="E64" i="8"/>
  <c r="F64" i="8"/>
  <c r="G64" i="8" l="1"/>
  <c r="J64" i="8" s="1"/>
  <c r="I64" i="8" l="1"/>
  <c r="D65" i="8" s="1"/>
  <c r="E65" i="8" l="1"/>
  <c r="F65" i="8"/>
  <c r="G65" i="8" l="1"/>
  <c r="J65" i="8" s="1"/>
  <c r="I65" i="8" s="1"/>
  <c r="D66" i="8" s="1"/>
  <c r="E66" i="8" l="1"/>
  <c r="F66" i="8"/>
  <c r="G66" i="8" l="1"/>
  <c r="J66" i="8" l="1"/>
  <c r="I66" i="8" s="1"/>
  <c r="D67" i="8" s="1"/>
  <c r="E67" i="8" l="1"/>
  <c r="F67" i="8"/>
  <c r="G67" i="8" l="1"/>
  <c r="J67" i="8" s="1"/>
  <c r="I67" i="8" s="1"/>
  <c r="D68" i="8" s="1"/>
  <c r="E68" i="8" l="1"/>
  <c r="F68" i="8"/>
  <c r="G68" i="8" l="1"/>
  <c r="J68" i="8" s="1"/>
  <c r="I68" i="8" l="1"/>
  <c r="D69" i="8" s="1"/>
  <c r="E69" i="8" s="1"/>
  <c r="F69" i="8" l="1"/>
  <c r="G69" i="8" s="1"/>
  <c r="J69" i="8" s="1"/>
  <c r="I69" i="8" s="1"/>
  <c r="D70" i="8" s="1"/>
  <c r="E70" i="8" l="1"/>
  <c r="F70" i="8"/>
  <c r="G70" i="8" l="1"/>
  <c r="J70" i="8" s="1"/>
  <c r="I70" i="8" s="1"/>
  <c r="D71" i="8" s="1"/>
  <c r="E71" i="8" l="1"/>
  <c r="F71" i="8"/>
  <c r="G71" i="8" l="1"/>
  <c r="J71" i="8" s="1"/>
  <c r="I71" i="8" l="1"/>
  <c r="D72" i="8" s="1"/>
  <c r="E72" i="8" s="1"/>
  <c r="F72" i="8" l="1"/>
  <c r="G72" i="8" s="1"/>
  <c r="J72" i="8" s="1"/>
  <c r="I72" i="8" l="1"/>
  <c r="D73" i="8" s="1"/>
  <c r="E73" i="8" s="1"/>
  <c r="F73" i="8" l="1"/>
  <c r="G73" i="8" s="1"/>
  <c r="J73" i="8" s="1"/>
  <c r="I73" i="8" s="1"/>
  <c r="D74" i="8" s="1"/>
  <c r="E74" i="8" l="1"/>
  <c r="F74" i="8"/>
  <c r="G74" i="8" l="1"/>
  <c r="J74" i="8" s="1"/>
  <c r="I74" i="8" s="1"/>
  <c r="D75" i="8" s="1"/>
  <c r="E75" i="8" l="1"/>
  <c r="F75" i="8"/>
  <c r="G75" i="8" l="1"/>
  <c r="J75" i="8" s="1"/>
  <c r="I75" i="8" l="1"/>
  <c r="D76" i="8" s="1"/>
  <c r="G113" i="2" l="1"/>
  <c r="G12" i="7" s="1"/>
  <c r="G13" i="7" s="1"/>
  <c r="P9" i="8"/>
  <c r="E76" i="8"/>
  <c r="F76" i="8"/>
  <c r="G76" i="8" l="1"/>
  <c r="J76" i="8" s="1"/>
  <c r="I76" i="8" s="1"/>
  <c r="D77" i="8" s="1"/>
  <c r="E77" i="8" l="1"/>
  <c r="F77" i="8"/>
  <c r="G77" i="8" l="1"/>
  <c r="J77" i="8" l="1"/>
  <c r="I77" i="8" s="1"/>
  <c r="D78" i="8" s="1"/>
  <c r="E78" i="8" l="1"/>
  <c r="F78" i="8"/>
  <c r="G78" i="8" l="1"/>
  <c r="J78" i="8" l="1"/>
  <c r="I78" i="8" s="1"/>
  <c r="D79" i="8" s="1"/>
  <c r="E79" i="8" l="1"/>
  <c r="F79" i="8"/>
  <c r="G79" i="8" l="1"/>
  <c r="J79" i="8" l="1"/>
  <c r="I79" i="8" s="1"/>
  <c r="D80" i="8" s="1"/>
  <c r="E80" i="8" l="1"/>
  <c r="F80" i="8"/>
  <c r="G80" i="8" l="1"/>
  <c r="J80" i="8" s="1"/>
  <c r="I80" i="8" l="1"/>
  <c r="D81" i="8" s="1"/>
  <c r="E81" i="8" s="1"/>
  <c r="F81" i="8" l="1"/>
  <c r="G81" i="8" s="1"/>
  <c r="J81" i="8" s="1"/>
  <c r="I81" i="8" s="1"/>
  <c r="D82" i="8" s="1"/>
  <c r="E82" i="8" l="1"/>
  <c r="F82" i="8"/>
  <c r="G82" i="8" l="1"/>
  <c r="J82" i="8" s="1"/>
  <c r="I82" i="8" l="1"/>
  <c r="D83" i="8" s="1"/>
  <c r="E83" i="8" s="1"/>
  <c r="F83" i="8" l="1"/>
  <c r="G83" i="8" s="1"/>
  <c r="J83" i="8" s="1"/>
  <c r="I83" i="8" l="1"/>
  <c r="D84" i="8" s="1"/>
  <c r="E84" i="8" s="1"/>
  <c r="F84" i="8" l="1"/>
  <c r="G84" i="8" s="1"/>
  <c r="J84" i="8" s="1"/>
  <c r="I84" i="8" s="1"/>
  <c r="D85" i="8" s="1"/>
  <c r="E85" i="8" l="1"/>
  <c r="F85" i="8"/>
  <c r="G85" i="8" l="1"/>
  <c r="J85" i="8" s="1"/>
  <c r="I85" i="8" l="1"/>
  <c r="D86" i="8" s="1"/>
  <c r="E86" i="8" s="1"/>
  <c r="F86" i="8" l="1"/>
  <c r="G86" i="8" s="1"/>
  <c r="J86" i="8" s="1"/>
  <c r="I86" i="8" s="1"/>
  <c r="D87" i="8" s="1"/>
  <c r="E87" i="8" l="1"/>
  <c r="F87" i="8"/>
  <c r="G87" i="8" l="1"/>
  <c r="J87" i="8" s="1"/>
  <c r="I87" i="8" s="1"/>
  <c r="D88" i="8" l="1"/>
  <c r="P10" i="8"/>
  <c r="H113" i="2"/>
  <c r="H12" i="7" s="1"/>
  <c r="H13" i="7" s="1"/>
  <c r="E88" i="8" l="1"/>
  <c r="F88" i="8"/>
  <c r="G88" i="8" l="1"/>
  <c r="J88" i="8" l="1"/>
  <c r="I88" i="8" s="1"/>
  <c r="D89" i="8" s="1"/>
  <c r="E89" i="8" l="1"/>
  <c r="F89" i="8"/>
  <c r="G89" i="8" l="1"/>
  <c r="J89" i="8" l="1"/>
  <c r="I89" i="8" s="1"/>
  <c r="D90" i="8" s="1"/>
  <c r="E90" i="8" l="1"/>
  <c r="F90" i="8"/>
  <c r="G90" i="8" l="1"/>
  <c r="J90" i="8" s="1"/>
  <c r="I90" i="8" l="1"/>
  <c r="D91" i="8" s="1"/>
  <c r="E91" i="8" s="1"/>
  <c r="F91" i="8" l="1"/>
  <c r="G91" i="8" s="1"/>
  <c r="J91" i="8" l="1"/>
  <c r="I91" i="8" s="1"/>
  <c r="D92" i="8" s="1"/>
  <c r="E92" i="8" l="1"/>
  <c r="F92" i="8"/>
  <c r="G92" i="8" l="1"/>
  <c r="J92" i="8" s="1"/>
  <c r="I92" i="8" s="1"/>
  <c r="D93" i="8" s="1"/>
  <c r="E93" i="8" l="1"/>
  <c r="F93" i="8"/>
  <c r="G93" i="8" l="1"/>
  <c r="J93" i="8" s="1"/>
  <c r="I93" i="8" l="1"/>
  <c r="D94" i="8" s="1"/>
  <c r="F94" i="8" s="1"/>
  <c r="E94" i="8" l="1"/>
  <c r="G94" i="8" s="1"/>
  <c r="J94" i="8" s="1"/>
  <c r="I94" i="8" s="1"/>
  <c r="D95" i="8" s="1"/>
  <c r="E95" i="8" l="1"/>
  <c r="F95" i="8"/>
  <c r="G95" i="8" l="1"/>
  <c r="J95" i="8" s="1"/>
  <c r="I95" i="8" l="1"/>
  <c r="D96" i="8" s="1"/>
  <c r="E96" i="8" s="1"/>
  <c r="F96" i="8" l="1"/>
  <c r="G96" i="8" s="1"/>
  <c r="J96" i="8" s="1"/>
  <c r="I96" i="8" s="1"/>
  <c r="D97" i="8" s="1"/>
  <c r="E97" i="8" l="1"/>
  <c r="F97" i="8"/>
  <c r="G97" i="8" l="1"/>
  <c r="J97" i="8" s="1"/>
  <c r="I97" i="8" s="1"/>
  <c r="D98" i="8" s="1"/>
  <c r="E98" i="8" l="1"/>
  <c r="F98" i="8"/>
  <c r="G98" i="8" l="1"/>
  <c r="J98" i="8" s="1"/>
  <c r="I98" i="8" l="1"/>
  <c r="D99" i="8" s="1"/>
  <c r="E99" i="8" s="1"/>
  <c r="F99" i="8" l="1"/>
  <c r="G99" i="8" s="1"/>
  <c r="J99" i="8" s="1"/>
  <c r="I99" i="8" s="1"/>
  <c r="P11" i="8" l="1"/>
  <c r="D100" i="8"/>
  <c r="I113" i="2"/>
  <c r="I12" i="7" s="1"/>
  <c r="I13" i="7" s="1"/>
  <c r="F100" i="8" l="1"/>
  <c r="E100" i="8"/>
  <c r="G100" i="8" l="1"/>
  <c r="J100" i="8" l="1"/>
  <c r="I100" i="8" s="1"/>
  <c r="D101" i="8" s="1"/>
  <c r="E101" i="8" l="1"/>
  <c r="F101" i="8"/>
  <c r="G101" i="8" l="1"/>
  <c r="J101" i="8" s="1"/>
  <c r="I101" i="8" l="1"/>
  <c r="D102" i="8" s="1"/>
  <c r="E102" i="8" l="1"/>
  <c r="F102" i="8"/>
  <c r="G102" i="8" l="1"/>
  <c r="J102" i="8" l="1"/>
  <c r="I102" i="8" s="1"/>
  <c r="D103" i="8" s="1"/>
  <c r="F103" i="8" l="1"/>
  <c r="E103" i="8"/>
  <c r="G103" i="8" l="1"/>
  <c r="J103" i="8" l="1"/>
  <c r="I103" i="8" s="1"/>
  <c r="D104" i="8" s="1"/>
  <c r="E104" i="8" l="1"/>
  <c r="F104" i="8"/>
  <c r="G104" i="8" l="1"/>
  <c r="J104" i="8" s="1"/>
  <c r="I104" i="8" l="1"/>
  <c r="D105" i="8" s="1"/>
  <c r="E105" i="8" s="1"/>
  <c r="F105" i="8" l="1"/>
  <c r="G105" i="8" s="1"/>
  <c r="J105" i="8" s="1"/>
  <c r="I105" i="8" l="1"/>
  <c r="D106" i="8" s="1"/>
  <c r="F106" i="8" s="1"/>
  <c r="E106" i="8" l="1"/>
  <c r="G106" i="8" s="1"/>
  <c r="J106" i="8" s="1"/>
  <c r="I106" i="8" s="1"/>
  <c r="D107" i="8" s="1"/>
  <c r="E107" i="8" l="1"/>
  <c r="F107" i="8"/>
  <c r="G107" i="8" l="1"/>
  <c r="J107" i="8" s="1"/>
  <c r="I107" i="8" s="1"/>
  <c r="D108" i="8" s="1"/>
  <c r="E108" i="8" l="1"/>
  <c r="F108" i="8"/>
  <c r="G108" i="8" l="1"/>
  <c r="J108" i="8" s="1"/>
  <c r="I108" i="8" s="1"/>
  <c r="D109" i="8" s="1"/>
  <c r="F109" i="8" l="1"/>
  <c r="E109" i="8"/>
  <c r="G109" i="8" l="1"/>
  <c r="J109" i="8" s="1"/>
  <c r="I109" i="8" s="1"/>
  <c r="D110" i="8" s="1"/>
  <c r="E110" i="8" l="1"/>
  <c r="F110" i="8"/>
  <c r="G110" i="8" l="1"/>
  <c r="J110" i="8" s="1"/>
  <c r="I110" i="8" s="1"/>
  <c r="D111" i="8" s="1"/>
  <c r="E111" i="8" l="1"/>
  <c r="F111" i="8"/>
  <c r="G111" i="8" l="1"/>
  <c r="J111" i="8" s="1"/>
  <c r="I111" i="8" s="1"/>
  <c r="D112" i="8" l="1"/>
  <c r="P12" i="8"/>
  <c r="J113" i="2"/>
  <c r="J12" i="7" s="1"/>
  <c r="J13" i="7" s="1"/>
  <c r="F112" i="8" l="1"/>
  <c r="E112" i="8"/>
  <c r="G112" i="8" l="1"/>
  <c r="J112" i="8" s="1"/>
  <c r="I112" i="8" s="1"/>
  <c r="D113" i="8" s="1"/>
  <c r="E113" i="8" l="1"/>
  <c r="F113" i="8"/>
  <c r="G113" i="8" l="1"/>
  <c r="J113" i="8" l="1"/>
  <c r="I113" i="8" s="1"/>
  <c r="D114" i="8" s="1"/>
  <c r="E114" i="8" l="1"/>
  <c r="F114" i="8"/>
  <c r="G114" i="8" l="1"/>
  <c r="J114" i="8" l="1"/>
  <c r="I114" i="8" s="1"/>
  <c r="D115" i="8" s="1"/>
  <c r="F115" i="8" l="1"/>
  <c r="E115" i="8"/>
  <c r="G115" i="8" l="1"/>
  <c r="J115" i="8" l="1"/>
  <c r="I115" i="8" s="1"/>
  <c r="D116" i="8" s="1"/>
  <c r="E116" i="8" l="1"/>
  <c r="F116" i="8"/>
  <c r="G116" i="8" l="1"/>
  <c r="J116" i="8" s="1"/>
  <c r="I116" i="8" l="1"/>
  <c r="D117" i="8" s="1"/>
  <c r="E117" i="8" s="1"/>
  <c r="F117" i="8" l="1"/>
  <c r="G117" i="8" s="1"/>
  <c r="J117" i="8" s="1"/>
  <c r="I117" i="8" s="1"/>
  <c r="D118" i="8" s="1"/>
  <c r="F118" i="8" l="1"/>
  <c r="E118" i="8"/>
  <c r="G118" i="8" l="1"/>
  <c r="J118" i="8" s="1"/>
  <c r="I118" i="8" s="1"/>
  <c r="D119" i="8" s="1"/>
  <c r="E119" i="8" l="1"/>
  <c r="F119" i="8"/>
  <c r="G119" i="8" l="1"/>
  <c r="J119" i="8" s="1"/>
  <c r="I119" i="8" s="1"/>
  <c r="D120" i="8" s="1"/>
  <c r="E120" i="8" l="1"/>
  <c r="F120" i="8"/>
  <c r="G120" i="8" l="1"/>
  <c r="J120" i="8" s="1"/>
  <c r="I120" i="8" s="1"/>
  <c r="D121" i="8" s="1"/>
  <c r="F121" i="8" l="1"/>
  <c r="E121" i="8"/>
  <c r="G121" i="8" l="1"/>
  <c r="J121" i="8" s="1"/>
  <c r="I121" i="8" s="1"/>
  <c r="D122" i="8" s="1"/>
  <c r="E122" i="8" l="1"/>
  <c r="F122" i="8"/>
  <c r="G122" i="8" l="1"/>
  <c r="J122" i="8" s="1"/>
  <c r="I122" i="8" s="1"/>
  <c r="D123" i="8" s="1"/>
  <c r="E123" i="8" l="1"/>
  <c r="F123" i="8"/>
  <c r="G123" i="8" l="1"/>
  <c r="J123" i="8" s="1"/>
  <c r="I123" i="8" s="1"/>
  <c r="D124" i="8" l="1"/>
  <c r="P13" i="8"/>
  <c r="K113" i="2"/>
  <c r="K12" i="7" l="1"/>
  <c r="K13" i="7" s="1"/>
  <c r="B14" i="2"/>
  <c r="C85" i="3"/>
  <c r="B12" i="5"/>
  <c r="F124" i="8"/>
  <c r="E124" i="8"/>
  <c r="C39" i="3" l="1"/>
  <c r="F14" i="1"/>
  <c r="B18" i="5"/>
  <c r="C22" i="1" s="1"/>
  <c r="B38" i="5"/>
  <c r="F22" i="1" s="1"/>
  <c r="G124" i="8"/>
  <c r="J124" i="8" l="1"/>
  <c r="I124" i="8" s="1"/>
  <c r="D125" i="8" s="1"/>
  <c r="F14" i="9"/>
  <c r="C50" i="3"/>
  <c r="F8" i="2"/>
  <c r="F125" i="8" l="1"/>
  <c r="E125" i="8"/>
  <c r="G125" i="8" l="1"/>
  <c r="J125" i="8" s="1"/>
  <c r="I125" i="8" s="1"/>
  <c r="D126" i="8" s="1"/>
  <c r="E126" i="8" l="1"/>
  <c r="F126" i="8"/>
  <c r="G126" i="8" l="1"/>
  <c r="J126" i="8" l="1"/>
  <c r="I126" i="8" s="1"/>
  <c r="D127" i="8" s="1"/>
  <c r="F127" i="8" l="1"/>
  <c r="E127" i="8"/>
  <c r="G127" i="8" l="1"/>
  <c r="J127" i="8" s="1"/>
  <c r="I127" i="8" s="1"/>
  <c r="D128" i="8" s="1"/>
  <c r="F128" i="8" l="1"/>
  <c r="E128" i="8"/>
  <c r="G128" i="8" l="1"/>
  <c r="J128" i="8" s="1"/>
  <c r="I128" i="8" s="1"/>
  <c r="D129" i="8" s="1"/>
  <c r="E129" i="8" l="1"/>
  <c r="F129" i="8"/>
  <c r="G129" i="8" l="1"/>
  <c r="J129" i="8" s="1"/>
  <c r="I129" i="8" s="1"/>
  <c r="D130" i="8" s="1"/>
  <c r="F130" i="8" l="1"/>
  <c r="E130" i="8"/>
  <c r="G130" i="8" l="1"/>
  <c r="J130" i="8" s="1"/>
  <c r="I130" i="8" s="1"/>
  <c r="D131" i="8" s="1"/>
  <c r="F131" i="8" l="1"/>
  <c r="E131" i="8"/>
  <c r="G131" i="8" l="1"/>
  <c r="J131" i="8" s="1"/>
  <c r="I131" i="8" s="1"/>
  <c r="D132" i="8" s="1"/>
  <c r="E132" i="8" l="1"/>
  <c r="F132" i="8"/>
  <c r="G132" i="8" l="1"/>
  <c r="J132" i="8" s="1"/>
  <c r="I132" i="8" s="1"/>
  <c r="D133" i="8" s="1"/>
  <c r="F133" i="8" l="1"/>
  <c r="E133" i="8"/>
  <c r="G133" i="8" l="1"/>
  <c r="J133" i="8" s="1"/>
  <c r="I133" i="8" s="1"/>
  <c r="D134" i="8" s="1"/>
  <c r="F134" i="8" l="1"/>
  <c r="E134" i="8"/>
  <c r="G134" i="8" l="1"/>
  <c r="J134" i="8" s="1"/>
  <c r="I134" i="8" s="1"/>
  <c r="D135" i="8" s="1"/>
  <c r="E135" i="8" l="1"/>
  <c r="F135" i="8"/>
  <c r="G135" i="8" l="1"/>
  <c r="J135" i="8" s="1"/>
  <c r="I135" i="8" s="1"/>
  <c r="D136" i="8" l="1"/>
  <c r="P14" i="8"/>
  <c r="L113" i="2"/>
  <c r="L12" i="7" l="1"/>
  <c r="L13" i="7" s="1"/>
  <c r="B24" i="5"/>
  <c r="B28" i="5" s="1"/>
  <c r="F136" i="8"/>
  <c r="E136" i="8"/>
  <c r="G136" i="8" l="1"/>
  <c r="J136" i="8" l="1"/>
  <c r="I136" i="8" s="1"/>
  <c r="D137" i="8" s="1"/>
  <c r="F137" i="8" l="1"/>
  <c r="E137" i="8"/>
  <c r="G137" i="8" l="1"/>
  <c r="J137" i="8" s="1"/>
  <c r="I137" i="8" s="1"/>
  <c r="D138" i="8" s="1"/>
  <c r="E138" i="8" l="1"/>
  <c r="F138" i="8"/>
  <c r="G138" i="8" l="1"/>
  <c r="J138" i="8" s="1"/>
  <c r="I138" i="8" s="1"/>
  <c r="D139" i="8" s="1"/>
  <c r="F139" i="8" l="1"/>
  <c r="E139" i="8"/>
  <c r="G139" i="8" l="1"/>
  <c r="J139" i="8" l="1"/>
  <c r="I139" i="8" s="1"/>
  <c r="D140" i="8" s="1"/>
  <c r="F140" i="8" l="1"/>
  <c r="E140" i="8"/>
  <c r="G140" i="8" l="1"/>
  <c r="J140" i="8" s="1"/>
  <c r="I140" i="8" s="1"/>
  <c r="D141" i="8" s="1"/>
  <c r="E141" i="8" l="1"/>
  <c r="F141" i="8"/>
  <c r="G141" i="8" l="1"/>
  <c r="J141" i="8" s="1"/>
  <c r="I141" i="8" s="1"/>
  <c r="D142" i="8" s="1"/>
  <c r="F142" i="8" l="1"/>
  <c r="E142" i="8"/>
  <c r="G142" i="8" l="1"/>
  <c r="J142" i="8" s="1"/>
  <c r="I142" i="8" s="1"/>
  <c r="D143" i="8" s="1"/>
  <c r="F143" i="8" l="1"/>
  <c r="E143" i="8"/>
  <c r="G143" i="8" l="1"/>
  <c r="J143" i="8" s="1"/>
  <c r="I143" i="8" s="1"/>
  <c r="D144" i="8" s="1"/>
  <c r="E144" i="8" l="1"/>
  <c r="F144" i="8"/>
  <c r="G144" i="8" l="1"/>
  <c r="J144" i="8" s="1"/>
  <c r="I144" i="8" l="1"/>
  <c r="D145" i="8" s="1"/>
  <c r="F145" i="8" s="1"/>
  <c r="E145" i="8" l="1"/>
  <c r="G145" i="8" s="1"/>
  <c r="J145" i="8" s="1"/>
  <c r="I145" i="8" s="1"/>
  <c r="D146" i="8" s="1"/>
  <c r="F146" i="8" l="1"/>
  <c r="E146" i="8"/>
  <c r="G146" i="8" l="1"/>
  <c r="J146" i="8" s="1"/>
  <c r="I146" i="8" s="1"/>
  <c r="D147" i="8" s="1"/>
  <c r="E147" i="8" l="1"/>
  <c r="F147" i="8"/>
  <c r="G147" i="8" l="1"/>
  <c r="J147" i="8" l="1"/>
  <c r="I147" i="8" s="1"/>
  <c r="D148" i="8" l="1"/>
  <c r="F148" i="8" s="1"/>
  <c r="P15" i="8"/>
  <c r="M113" i="2"/>
  <c r="M12" i="7" s="1"/>
  <c r="M13" i="7" s="1"/>
  <c r="E148" i="8" l="1"/>
  <c r="G148" i="8" s="1"/>
  <c r="J148" i="8" l="1"/>
  <c r="I148" i="8" s="1"/>
  <c r="D149" i="8" s="1"/>
  <c r="F149" i="8" l="1"/>
  <c r="E149" i="8"/>
  <c r="G149" i="8" l="1"/>
  <c r="J149" i="8" l="1"/>
  <c r="I149" i="8" s="1"/>
  <c r="D150" i="8" s="1"/>
  <c r="E150" i="8" l="1"/>
  <c r="F150" i="8"/>
  <c r="G150" i="8" l="1"/>
  <c r="J150" i="8" s="1"/>
  <c r="I150" i="8" s="1"/>
  <c r="D151" i="8" s="1"/>
  <c r="F151" i="8" l="1"/>
  <c r="E151" i="8"/>
  <c r="G151" i="8" l="1"/>
  <c r="J151" i="8" l="1"/>
  <c r="I151" i="8" s="1"/>
  <c r="D152" i="8" s="1"/>
  <c r="F152" i="8" l="1"/>
  <c r="E152" i="8"/>
  <c r="G152" i="8" l="1"/>
  <c r="J152" i="8" s="1"/>
  <c r="I152" i="8" s="1"/>
  <c r="D153" i="8" s="1"/>
  <c r="E153" i="8" l="1"/>
  <c r="F153" i="8"/>
  <c r="G153" i="8" l="1"/>
  <c r="J153" i="8" s="1"/>
  <c r="I153" i="8" s="1"/>
  <c r="D154" i="8" s="1"/>
  <c r="F154" i="8" l="1"/>
  <c r="E154" i="8"/>
  <c r="G154" i="8" l="1"/>
  <c r="J154" i="8" s="1"/>
  <c r="I154" i="8" l="1"/>
  <c r="D155" i="8" s="1"/>
  <c r="F155" i="8" s="1"/>
  <c r="E155" i="8" l="1"/>
  <c r="G155" i="8" s="1"/>
  <c r="J155" i="8" s="1"/>
  <c r="I155" i="8" l="1"/>
  <c r="D156" i="8" s="1"/>
  <c r="E156" i="8" s="1"/>
  <c r="F156" i="8" l="1"/>
  <c r="G156" i="8" s="1"/>
  <c r="J156" i="8" s="1"/>
  <c r="I156" i="8" s="1"/>
  <c r="D157" i="8" s="1"/>
  <c r="F157" i="8" l="1"/>
  <c r="E157" i="8"/>
  <c r="G157" i="8" l="1"/>
  <c r="J157" i="8" s="1"/>
  <c r="I157" i="8" s="1"/>
  <c r="D158" i="8" s="1"/>
  <c r="F158" i="8" l="1"/>
  <c r="E158" i="8"/>
  <c r="G158" i="8" l="1"/>
  <c r="J158" i="8" s="1"/>
  <c r="I158" i="8" s="1"/>
  <c r="D159" i="8" s="1"/>
  <c r="E159" i="8" l="1"/>
  <c r="F159" i="8"/>
  <c r="G159" i="8" l="1"/>
  <c r="J159" i="8" s="1"/>
  <c r="I159" i="8" s="1"/>
  <c r="P16" i="8" l="1"/>
  <c r="D160" i="8"/>
  <c r="N113" i="2"/>
  <c r="N12" i="7" s="1"/>
  <c r="N13" i="7" s="1"/>
  <c r="F160" i="8" l="1"/>
  <c r="E160" i="8"/>
  <c r="G160" i="8" l="1"/>
  <c r="J160" i="8" l="1"/>
  <c r="I160" i="8" s="1"/>
  <c r="D161" i="8" s="1"/>
  <c r="F161" i="8" l="1"/>
  <c r="E161" i="8"/>
  <c r="G161" i="8" l="1"/>
  <c r="J161" i="8" s="1"/>
  <c r="I161" i="8" s="1"/>
  <c r="D162" i="8" s="1"/>
  <c r="F162" i="8" l="1"/>
  <c r="E162" i="8"/>
  <c r="G162" i="8" l="1"/>
  <c r="J162" i="8" l="1"/>
  <c r="I162" i="8" s="1"/>
  <c r="D163" i="8" s="1"/>
  <c r="E163" i="8" l="1"/>
  <c r="F163" i="8"/>
  <c r="G163" i="8" l="1"/>
  <c r="J163" i="8" l="1"/>
  <c r="I163" i="8" s="1"/>
  <c r="D164" i="8" s="1"/>
  <c r="F164" i="8" l="1"/>
  <c r="E164" i="8"/>
  <c r="G164" i="8" l="1"/>
  <c r="J164" i="8" l="1"/>
  <c r="I164" i="8" s="1"/>
  <c r="D165" i="8" s="1"/>
  <c r="F165" i="8" l="1"/>
  <c r="E165" i="8"/>
  <c r="G165" i="8" l="1"/>
  <c r="J165" i="8" s="1"/>
  <c r="I165" i="8" s="1"/>
  <c r="D166" i="8" s="1"/>
  <c r="E166" i="8" l="1"/>
  <c r="F166" i="8"/>
  <c r="G166" i="8" l="1"/>
  <c r="J166" i="8" s="1"/>
  <c r="I166" i="8" s="1"/>
  <c r="D167" i="8" s="1"/>
  <c r="E167" i="8" l="1"/>
  <c r="F167" i="8"/>
  <c r="G167" i="8" l="1"/>
  <c r="J167" i="8" s="1"/>
  <c r="I167" i="8" s="1"/>
  <c r="D168" i="8" s="1"/>
  <c r="F168" i="8" l="1"/>
  <c r="E168" i="8"/>
  <c r="G168" i="8" l="1"/>
  <c r="J168" i="8" s="1"/>
  <c r="I168" i="8" s="1"/>
  <c r="D169" i="8" s="1"/>
  <c r="F169" i="8" l="1"/>
  <c r="E169" i="8"/>
  <c r="G169" i="8" l="1"/>
  <c r="J169" i="8" s="1"/>
  <c r="I169" i="8" s="1"/>
  <c r="D170" i="8" s="1"/>
  <c r="F170" i="8" l="1"/>
  <c r="E170" i="8"/>
  <c r="G170" i="8" l="1"/>
  <c r="J170" i="8" s="1"/>
  <c r="I170" i="8" s="1"/>
  <c r="D171" i="8" s="1"/>
  <c r="F171" i="8" l="1"/>
  <c r="E171" i="8"/>
  <c r="G171" i="8" l="1"/>
  <c r="J171" i="8" s="1"/>
  <c r="I171" i="8" s="1"/>
  <c r="D172" i="8" l="1"/>
  <c r="P17" i="8"/>
  <c r="O113" i="2"/>
  <c r="O12" i="7" s="1"/>
  <c r="O13" i="7" s="1"/>
  <c r="F172" i="8" l="1"/>
  <c r="E172" i="8"/>
  <c r="G172" i="8" l="1"/>
  <c r="J172" i="8" l="1"/>
  <c r="I172" i="8" s="1"/>
  <c r="D173" i="8" s="1"/>
  <c r="E173" i="8" l="1"/>
  <c r="F173" i="8"/>
  <c r="G173" i="8" l="1"/>
  <c r="J173" i="8" s="1"/>
  <c r="I173" i="8" l="1"/>
  <c r="D174" i="8" s="1"/>
  <c r="F174" i="8" s="1"/>
  <c r="E174" i="8" l="1"/>
  <c r="G174" i="8" s="1"/>
  <c r="J174" i="8" l="1"/>
  <c r="I174" i="8" s="1"/>
  <c r="D175" i="8" s="1"/>
  <c r="F175" i="8" l="1"/>
  <c r="E175" i="8"/>
  <c r="G175" i="8" l="1"/>
  <c r="J175" i="8" s="1"/>
  <c r="I175" i="8" s="1"/>
  <c r="D176" i="8" s="1"/>
  <c r="F176" i="8" l="1"/>
  <c r="E176" i="8"/>
  <c r="G176" i="8" l="1"/>
  <c r="J176" i="8" s="1"/>
  <c r="I176" i="8" s="1"/>
  <c r="D177" i="8" s="1"/>
  <c r="F177" i="8" l="1"/>
  <c r="E177" i="8"/>
  <c r="G177" i="8" l="1"/>
  <c r="J177" i="8" s="1"/>
  <c r="I177" i="8" s="1"/>
  <c r="D178" i="8" s="1"/>
  <c r="F178" i="8" l="1"/>
  <c r="E178" i="8"/>
  <c r="G178" i="8" l="1"/>
  <c r="J178" i="8" s="1"/>
  <c r="I178" i="8" s="1"/>
  <c r="D179" i="8" s="1"/>
  <c r="F179" i="8" l="1"/>
  <c r="E179" i="8"/>
  <c r="G179" i="8" l="1"/>
  <c r="J179" i="8" s="1"/>
  <c r="I179" i="8" s="1"/>
  <c r="D180" i="8" s="1"/>
  <c r="F180" i="8" l="1"/>
  <c r="E180" i="8"/>
  <c r="G180" i="8" l="1"/>
  <c r="J180" i="8" s="1"/>
  <c r="I180" i="8" s="1"/>
  <c r="D181" i="8" s="1"/>
  <c r="F181" i="8" l="1"/>
  <c r="E181" i="8"/>
  <c r="G181" i="8" l="1"/>
  <c r="J181" i="8" s="1"/>
  <c r="I181" i="8" l="1"/>
  <c r="D182" i="8" s="1"/>
  <c r="E182" i="8" s="1"/>
  <c r="F182" i="8" l="1"/>
  <c r="G182" i="8" s="1"/>
  <c r="J182" i="8" s="1"/>
  <c r="I182" i="8" s="1"/>
  <c r="D183" i="8" s="1"/>
  <c r="E183" i="8" l="1"/>
  <c r="F183" i="8"/>
  <c r="G183" i="8" l="1"/>
  <c r="J183" i="8" s="1"/>
  <c r="I183" i="8" s="1"/>
  <c r="D184" i="8" l="1"/>
  <c r="P113" i="2"/>
  <c r="P12" i="7" s="1"/>
  <c r="P13" i="7" s="1"/>
  <c r="P18" i="8"/>
  <c r="F184" i="8" l="1"/>
  <c r="E184" i="8"/>
  <c r="G184" i="8" l="1"/>
  <c r="J184" i="8" l="1"/>
  <c r="I184" i="8" s="1"/>
  <c r="D185" i="8" s="1"/>
  <c r="F185" i="8" l="1"/>
  <c r="E185" i="8"/>
  <c r="G185" i="8" l="1"/>
  <c r="J185" i="8" l="1"/>
  <c r="I185" i="8" s="1"/>
  <c r="D186" i="8" s="1"/>
  <c r="F186" i="8" l="1"/>
  <c r="E186" i="8"/>
  <c r="G186" i="8" l="1"/>
  <c r="J186" i="8" s="1"/>
  <c r="I186" i="8" s="1"/>
  <c r="D187" i="8" s="1"/>
  <c r="F187" i="8" l="1"/>
  <c r="E187" i="8"/>
  <c r="G187" i="8" l="1"/>
  <c r="J187" i="8" l="1"/>
  <c r="I187" i="8" s="1"/>
  <c r="D188" i="8" s="1"/>
  <c r="F188" i="8" l="1"/>
  <c r="E188" i="8"/>
  <c r="G188" i="8" l="1"/>
  <c r="J188" i="8" s="1"/>
  <c r="I188" i="8" s="1"/>
  <c r="D189" i="8" s="1"/>
  <c r="F189" i="8" l="1"/>
  <c r="E189" i="8"/>
  <c r="G189" i="8" l="1"/>
  <c r="J189" i="8" s="1"/>
  <c r="I189" i="8" s="1"/>
  <c r="D190" i="8" s="1"/>
  <c r="F190" i="8" l="1"/>
  <c r="E190" i="8"/>
  <c r="G190" i="8" l="1"/>
  <c r="J190" i="8" s="1"/>
  <c r="I190" i="8" s="1"/>
  <c r="D191" i="8" s="1"/>
  <c r="F191" i="8" l="1"/>
  <c r="E191" i="8"/>
  <c r="G191" i="8" l="1"/>
  <c r="J191" i="8" s="1"/>
  <c r="I191" i="8" s="1"/>
  <c r="D192" i="8" s="1"/>
  <c r="F192" i="8" l="1"/>
  <c r="E192" i="8"/>
  <c r="G192" i="8" l="1"/>
  <c r="J192" i="8" s="1"/>
  <c r="I192" i="8" s="1"/>
  <c r="D193" i="8" s="1"/>
  <c r="F193" i="8" l="1"/>
  <c r="E193" i="8"/>
  <c r="G193" i="8" l="1"/>
  <c r="J193" i="8" s="1"/>
  <c r="I193" i="8" s="1"/>
  <c r="D194" i="8" s="1"/>
  <c r="F194" i="8" l="1"/>
  <c r="E194" i="8"/>
  <c r="G194" i="8" l="1"/>
  <c r="J194" i="8" s="1"/>
  <c r="I194" i="8" s="1"/>
  <c r="D195" i="8" s="1"/>
  <c r="E195" i="8" l="1"/>
  <c r="F195" i="8"/>
  <c r="G195" i="8" l="1"/>
  <c r="J195" i="8" s="1"/>
  <c r="I195" i="8" s="1"/>
  <c r="D196" i="8" l="1"/>
  <c r="P19" i="8"/>
  <c r="Q113" i="2"/>
  <c r="Q12" i="7" s="1"/>
  <c r="Q13" i="7" s="1"/>
  <c r="F196" i="8" l="1"/>
  <c r="E196" i="8"/>
  <c r="G196" i="8" l="1"/>
  <c r="J196" i="8" s="1"/>
  <c r="I196" i="8" s="1"/>
  <c r="D197" i="8" s="1"/>
  <c r="F197" i="8" l="1"/>
  <c r="E197" i="8"/>
  <c r="G197" i="8" l="1"/>
  <c r="J197" i="8" l="1"/>
  <c r="I197" i="8" s="1"/>
  <c r="D198" i="8" s="1"/>
  <c r="E198" i="8" l="1"/>
  <c r="F198" i="8"/>
  <c r="G198" i="8" l="1"/>
  <c r="J198" i="8" l="1"/>
  <c r="I198" i="8" s="1"/>
  <c r="D199" i="8" s="1"/>
  <c r="F199" i="8" l="1"/>
  <c r="E199" i="8"/>
  <c r="G199" i="8" l="1"/>
  <c r="J199" i="8" s="1"/>
  <c r="I199" i="8" l="1"/>
  <c r="D200" i="8" s="1"/>
  <c r="F200" i="8" s="1"/>
  <c r="E200" i="8" l="1"/>
  <c r="G200" i="8" s="1"/>
  <c r="J200" i="8" s="1"/>
  <c r="I200" i="8" s="1"/>
  <c r="D201" i="8" s="1"/>
  <c r="E201" i="8" l="1"/>
  <c r="F201" i="8"/>
  <c r="G201" i="8" l="1"/>
  <c r="J201" i="8" s="1"/>
  <c r="I201" i="8" s="1"/>
  <c r="D202" i="8" s="1"/>
  <c r="F202" i="8" l="1"/>
  <c r="E202" i="8"/>
  <c r="G202" i="8" l="1"/>
  <c r="J202" i="8" s="1"/>
  <c r="I202" i="8" s="1"/>
  <c r="D203" i="8" s="1"/>
  <c r="F203" i="8" l="1"/>
  <c r="E203" i="8"/>
  <c r="G203" i="8" l="1"/>
  <c r="J203" i="8" s="1"/>
  <c r="I203" i="8" l="1"/>
  <c r="D204" i="8" s="1"/>
  <c r="E204" i="8" s="1"/>
  <c r="F204" i="8" l="1"/>
  <c r="G204" i="8" s="1"/>
  <c r="J204" i="8" s="1"/>
  <c r="I204" i="8" s="1"/>
  <c r="D205" i="8" s="1"/>
  <c r="F205" i="8" l="1"/>
  <c r="E205" i="8"/>
  <c r="G205" i="8" l="1"/>
  <c r="J205" i="8" s="1"/>
  <c r="I205" i="8" s="1"/>
  <c r="D206" i="8" s="1"/>
  <c r="F206" i="8" l="1"/>
  <c r="E206" i="8"/>
  <c r="G206" i="8" l="1"/>
  <c r="J206" i="8" s="1"/>
  <c r="I206" i="8" s="1"/>
  <c r="D207" i="8" s="1"/>
  <c r="F207" i="8" l="1"/>
  <c r="E207" i="8"/>
  <c r="G207" i="8" l="1"/>
  <c r="J207" i="8" s="1"/>
  <c r="I207" i="8" s="1"/>
  <c r="D208" i="8" l="1"/>
  <c r="P20" i="8"/>
  <c r="R113" i="2"/>
  <c r="R12" i="7" s="1"/>
  <c r="R13" i="7" s="1"/>
  <c r="F208" i="8" l="1"/>
  <c r="E208" i="8"/>
  <c r="G208" i="8" l="1"/>
  <c r="J208" i="8" l="1"/>
  <c r="I208" i="8" s="1"/>
  <c r="D209" i="8" s="1"/>
  <c r="F209" i="8" l="1"/>
  <c r="E209" i="8"/>
  <c r="G209" i="8" l="1"/>
  <c r="J209" i="8" l="1"/>
  <c r="I209" i="8" s="1"/>
  <c r="D210" i="8" s="1"/>
  <c r="F210" i="8" l="1"/>
  <c r="E210" i="8"/>
  <c r="G210" i="8" l="1"/>
  <c r="J210" i="8" l="1"/>
  <c r="I210" i="8" s="1"/>
  <c r="D211" i="8" s="1"/>
  <c r="F211" i="8" l="1"/>
  <c r="E211" i="8"/>
  <c r="G211" i="8" l="1"/>
  <c r="J211" i="8" s="1"/>
  <c r="I211" i="8" s="1"/>
  <c r="D212" i="8" s="1"/>
  <c r="F212" i="8" l="1"/>
  <c r="E212" i="8"/>
  <c r="G212" i="8" l="1"/>
  <c r="J212" i="8" s="1"/>
  <c r="I212" i="8" s="1"/>
  <c r="D213" i="8" s="1"/>
  <c r="F213" i="8" l="1"/>
  <c r="E213" i="8"/>
  <c r="G213" i="8" l="1"/>
  <c r="J213" i="8" s="1"/>
  <c r="I213" i="8" s="1"/>
  <c r="D214" i="8" s="1"/>
  <c r="F214" i="8" l="1"/>
  <c r="E214" i="8"/>
  <c r="G214" i="8" l="1"/>
  <c r="J214" i="8" s="1"/>
  <c r="I214" i="8" s="1"/>
  <c r="D215" i="8" s="1"/>
  <c r="F215" i="8" l="1"/>
  <c r="E215" i="8"/>
  <c r="G215" i="8" l="1"/>
  <c r="J215" i="8" s="1"/>
  <c r="I215" i="8" s="1"/>
  <c r="D216" i="8" s="1"/>
  <c r="F216" i="8" l="1"/>
  <c r="E216" i="8"/>
  <c r="G216" i="8" l="1"/>
  <c r="J216" i="8" s="1"/>
  <c r="I216" i="8" s="1"/>
  <c r="D217" i="8" s="1"/>
  <c r="F217" i="8" l="1"/>
  <c r="E217" i="8"/>
  <c r="G217" i="8" l="1"/>
  <c r="J217" i="8" s="1"/>
  <c r="I217" i="8" s="1"/>
  <c r="D218" i="8" s="1"/>
  <c r="F218" i="8" l="1"/>
  <c r="E218" i="8"/>
  <c r="G218" i="8" l="1"/>
  <c r="J218" i="8" s="1"/>
  <c r="I218" i="8" s="1"/>
  <c r="D219" i="8" s="1"/>
  <c r="F219" i="8" l="1"/>
  <c r="E219" i="8"/>
  <c r="G219" i="8" l="1"/>
  <c r="J219" i="8" s="1"/>
  <c r="I219" i="8" s="1"/>
  <c r="D220" i="8" l="1"/>
  <c r="P21" i="8"/>
  <c r="S113" i="2"/>
  <c r="S12" i="7" s="1"/>
  <c r="S13" i="7" s="1"/>
  <c r="F220" i="8" l="1"/>
  <c r="E220" i="8"/>
  <c r="G220" i="8" l="1"/>
  <c r="J220" i="8" s="1"/>
  <c r="I220" i="8" s="1"/>
  <c r="D221" i="8" s="1"/>
  <c r="F221" i="8" s="1"/>
  <c r="E221" i="8" l="1"/>
  <c r="G221" i="8" s="1"/>
  <c r="J221" i="8" s="1"/>
  <c r="I221" i="8" s="1"/>
  <c r="D222" i="8" s="1"/>
  <c r="F222" i="8" l="1"/>
  <c r="E222" i="8"/>
  <c r="G222" i="8" l="1"/>
  <c r="J222" i="8" l="1"/>
  <c r="I222" i="8" s="1"/>
  <c r="D223" i="8" s="1"/>
  <c r="F223" i="8" l="1"/>
  <c r="E223" i="8"/>
  <c r="G223" i="8" l="1"/>
  <c r="J223" i="8" l="1"/>
  <c r="I223" i="8" s="1"/>
  <c r="D224" i="8" s="1"/>
  <c r="F224" i="8" l="1"/>
  <c r="E224" i="8"/>
  <c r="G224" i="8" l="1"/>
  <c r="J224" i="8" l="1"/>
  <c r="I224" i="8" s="1"/>
  <c r="D225" i="8" s="1"/>
  <c r="F225" i="8" l="1"/>
  <c r="E225" i="8"/>
  <c r="G225" i="8" l="1"/>
  <c r="J225" i="8" s="1"/>
  <c r="I225" i="8" s="1"/>
  <c r="D226" i="8" s="1"/>
  <c r="F226" i="8" l="1"/>
  <c r="E226" i="8"/>
  <c r="G226" i="8" l="1"/>
  <c r="J226" i="8" s="1"/>
  <c r="I226" i="8" l="1"/>
  <c r="D227" i="8" s="1"/>
  <c r="F227" i="8" s="1"/>
  <c r="E227" i="8" l="1"/>
  <c r="G227" i="8" s="1"/>
  <c r="J227" i="8" s="1"/>
  <c r="I227" i="8" s="1"/>
  <c r="D228" i="8" s="1"/>
  <c r="F228" i="8" l="1"/>
  <c r="E228" i="8"/>
  <c r="G228" i="8" l="1"/>
  <c r="J228" i="8" s="1"/>
  <c r="I228" i="8" s="1"/>
  <c r="D229" i="8" s="1"/>
  <c r="F229" i="8" l="1"/>
  <c r="E229" i="8"/>
  <c r="G229" i="8" l="1"/>
  <c r="J229" i="8" s="1"/>
  <c r="I229" i="8" s="1"/>
  <c r="D230" i="8" s="1"/>
  <c r="F230" i="8" l="1"/>
  <c r="E230" i="8"/>
  <c r="G230" i="8" l="1"/>
  <c r="J230" i="8" s="1"/>
  <c r="I230" i="8" s="1"/>
  <c r="D231" i="8" s="1"/>
  <c r="F231" i="8" l="1"/>
  <c r="E231" i="8"/>
  <c r="G231" i="8" l="1"/>
  <c r="J231" i="8" s="1"/>
  <c r="I231" i="8" s="1"/>
  <c r="D232" i="8" l="1"/>
  <c r="P22" i="8"/>
  <c r="T113" i="2"/>
  <c r="T12" i="7" s="1"/>
  <c r="T13" i="7" s="1"/>
  <c r="F232" i="8" l="1"/>
  <c r="E232" i="8"/>
  <c r="G232" i="8" l="1"/>
  <c r="J232" i="8" s="1"/>
  <c r="I232" i="8" s="1"/>
  <c r="D233" i="8" s="1"/>
  <c r="F233" i="8" l="1"/>
  <c r="E233" i="8"/>
  <c r="G233" i="8" l="1"/>
  <c r="J233" i="8" l="1"/>
  <c r="I233" i="8" s="1"/>
  <c r="D234" i="8" s="1"/>
  <c r="F234" i="8" l="1"/>
  <c r="E234" i="8"/>
  <c r="G234" i="8" l="1"/>
  <c r="J234" i="8" l="1"/>
  <c r="I234" i="8" s="1"/>
  <c r="D235" i="8" s="1"/>
  <c r="F235" i="8" l="1"/>
  <c r="E235" i="8"/>
  <c r="G235" i="8" l="1"/>
  <c r="J235" i="8" s="1"/>
  <c r="I235" i="8" l="1"/>
  <c r="D236" i="8" s="1"/>
  <c r="F236" i="8" s="1"/>
  <c r="E236" i="8" l="1"/>
  <c r="G236" i="8" s="1"/>
  <c r="J236" i="8" s="1"/>
  <c r="I236" i="8" s="1"/>
  <c r="D237" i="8" s="1"/>
  <c r="F237" i="8" l="1"/>
  <c r="E237" i="8"/>
  <c r="G237" i="8" l="1"/>
  <c r="J237" i="8" s="1"/>
  <c r="I237" i="8" s="1"/>
  <c r="D238" i="8" s="1"/>
  <c r="F238" i="8" l="1"/>
  <c r="E238" i="8"/>
  <c r="G238" i="8" l="1"/>
  <c r="J238" i="8" s="1"/>
  <c r="I238" i="8" s="1"/>
  <c r="D239" i="8" s="1"/>
  <c r="F239" i="8" l="1"/>
  <c r="E239" i="8"/>
  <c r="G239" i="8" l="1"/>
  <c r="J239" i="8" s="1"/>
  <c r="I239" i="8" s="1"/>
  <c r="D240" i="8" s="1"/>
  <c r="F240" i="8" l="1"/>
  <c r="E240" i="8"/>
  <c r="G240" i="8" l="1"/>
  <c r="J240" i="8" s="1"/>
  <c r="I240" i="8" s="1"/>
  <c r="D241" i="8" s="1"/>
  <c r="E241" i="8" l="1"/>
  <c r="F241" i="8"/>
  <c r="G241" i="8" l="1"/>
  <c r="J241" i="8" s="1"/>
  <c r="I241" i="8" l="1"/>
  <c r="D242" i="8" s="1"/>
  <c r="E242" i="8" s="1"/>
  <c r="F242" i="8" l="1"/>
  <c r="G242" i="8" s="1"/>
  <c r="J242" i="8" s="1"/>
  <c r="I242" i="8" s="1"/>
  <c r="D243" i="8" s="1"/>
  <c r="E243" i="8" l="1"/>
  <c r="F243" i="8"/>
  <c r="G243" i="8" l="1"/>
  <c r="J243" i="8" s="1"/>
  <c r="I243" i="8" s="1"/>
  <c r="D244" i="8" l="1"/>
  <c r="P23" i="8"/>
  <c r="U113" i="2"/>
  <c r="U12" i="7" s="1"/>
  <c r="U13" i="7" s="1"/>
  <c r="E244" i="8" l="1"/>
  <c r="F244" i="8"/>
  <c r="G244" i="8" l="1"/>
  <c r="J244" i="8" l="1"/>
  <c r="I244" i="8" l="1"/>
  <c r="D245" i="8" s="1"/>
  <c r="F245" i="8" l="1"/>
  <c r="E245" i="8"/>
  <c r="G245" i="8" l="1"/>
  <c r="J245" i="8" l="1"/>
  <c r="I245" i="8" s="1"/>
  <c r="D246" i="8" s="1"/>
  <c r="F246" i="8" l="1"/>
  <c r="E246" i="8"/>
  <c r="G246" i="8" l="1"/>
  <c r="J246" i="8" l="1"/>
  <c r="I246" i="8" s="1"/>
  <c r="D247" i="8" s="1"/>
  <c r="E247" i="8" l="1"/>
  <c r="F247" i="8"/>
  <c r="G247" i="8" l="1"/>
  <c r="J247" i="8" l="1"/>
  <c r="I247" i="8" s="1"/>
  <c r="D248" i="8" s="1"/>
  <c r="F248" i="8" l="1"/>
  <c r="E248" i="8"/>
  <c r="G248" i="8" l="1"/>
  <c r="J248" i="8" s="1"/>
  <c r="I248" i="8" l="1"/>
  <c r="D249" i="8" s="1"/>
  <c r="E249" i="8" s="1"/>
  <c r="F249" i="8" l="1"/>
  <c r="G249" i="8" s="1"/>
  <c r="J249" i="8" s="1"/>
  <c r="I249" i="8" s="1"/>
  <c r="D250" i="8" s="1"/>
  <c r="E250" i="8" l="1"/>
  <c r="F250" i="8"/>
  <c r="G250" i="8" l="1"/>
  <c r="J250" i="8" s="1"/>
  <c r="I250" i="8" l="1"/>
  <c r="D251" i="8" s="1"/>
  <c r="E251" i="8" s="1"/>
  <c r="F251" i="8" l="1"/>
  <c r="G251" i="8" s="1"/>
  <c r="J251" i="8" s="1"/>
  <c r="I251" i="8" s="1"/>
  <c r="D252" i="8" s="1"/>
  <c r="E252" i="8" l="1"/>
  <c r="F252" i="8"/>
  <c r="G252" i="8" l="1"/>
  <c r="J252" i="8" s="1"/>
  <c r="I252" i="8" s="1"/>
  <c r="D253" i="8" s="1"/>
  <c r="E253" i="8" l="1"/>
  <c r="F253" i="8"/>
  <c r="G253" i="8" l="1"/>
  <c r="J253" i="8" s="1"/>
  <c r="I253" i="8" s="1"/>
  <c r="D254" i="8" s="1"/>
  <c r="F254" i="8" l="1"/>
  <c r="E254" i="8"/>
  <c r="G254" i="8" l="1"/>
  <c r="J254" i="8" s="1"/>
  <c r="I254" i="8" l="1"/>
  <c r="D255" i="8" s="1"/>
  <c r="F255" i="8" s="1"/>
  <c r="E255" i="8" l="1"/>
  <c r="G255" i="8" s="1"/>
  <c r="J255" i="8" s="1"/>
  <c r="I255" i="8" s="1"/>
  <c r="D256" i="8" l="1"/>
  <c r="P24" i="8"/>
  <c r="V113" i="2"/>
  <c r="V12" i="7" s="1"/>
  <c r="V13" i="7" s="1"/>
  <c r="E256" i="8" l="1"/>
  <c r="F256" i="8"/>
  <c r="G256" i="8" l="1"/>
  <c r="J256" i="8" l="1"/>
  <c r="I256" i="8" l="1"/>
  <c r="D257" i="8" s="1"/>
  <c r="E257" i="8" l="1"/>
  <c r="F257" i="8"/>
  <c r="G257" i="8" l="1"/>
  <c r="J257" i="8" l="1"/>
  <c r="I257" i="8" s="1"/>
  <c r="D258" i="8" s="1"/>
  <c r="F258" i="8" l="1"/>
  <c r="E258" i="8"/>
  <c r="G258" i="8" l="1"/>
  <c r="J258" i="8" s="1"/>
  <c r="I258" i="8" s="1"/>
  <c r="D259" i="8" s="1"/>
  <c r="F259" i="8" l="1"/>
  <c r="E259" i="8"/>
  <c r="G259" i="8" l="1"/>
  <c r="J259" i="8" s="1"/>
  <c r="I259" i="8" s="1"/>
  <c r="D260" i="8" s="1"/>
  <c r="E260" i="8" l="1"/>
  <c r="F260" i="8"/>
  <c r="G260" i="8" l="1"/>
  <c r="J260" i="8" s="1"/>
  <c r="I260" i="8" s="1"/>
  <c r="D261" i="8" s="1"/>
  <c r="F261" i="8" l="1"/>
  <c r="E261" i="8"/>
  <c r="G261" i="8" l="1"/>
  <c r="J261" i="8" s="1"/>
  <c r="I261" i="8" s="1"/>
  <c r="D262" i="8" s="1"/>
  <c r="F262" i="8" l="1"/>
  <c r="E262" i="8"/>
  <c r="G262" i="8" l="1"/>
  <c r="J262" i="8" s="1"/>
  <c r="I262" i="8" s="1"/>
  <c r="D263" i="8" s="1"/>
  <c r="E263" i="8" l="1"/>
  <c r="F263" i="8"/>
  <c r="G263" i="8" l="1"/>
  <c r="J263" i="8" s="1"/>
  <c r="I263" i="8" s="1"/>
  <c r="D264" i="8" s="1"/>
  <c r="F264" i="8" l="1"/>
  <c r="E264" i="8"/>
  <c r="G264" i="8" l="1"/>
  <c r="J264" i="8" s="1"/>
  <c r="I264" i="8" s="1"/>
  <c r="D265" i="8" s="1"/>
  <c r="F265" i="8" l="1"/>
  <c r="E265" i="8"/>
  <c r="G265" i="8" l="1"/>
  <c r="J265" i="8" s="1"/>
  <c r="I265" i="8" s="1"/>
  <c r="D266" i="8" s="1"/>
  <c r="E266" i="8" l="1"/>
  <c r="F266" i="8"/>
  <c r="G266" i="8" l="1"/>
  <c r="J266" i="8" s="1"/>
  <c r="I266" i="8" s="1"/>
  <c r="D267" i="8" s="1"/>
  <c r="E267" i="8" l="1"/>
  <c r="F267" i="8"/>
  <c r="G267" i="8" l="1"/>
  <c r="J267" i="8" s="1"/>
  <c r="I267" i="8" s="1"/>
  <c r="D268" i="8" l="1"/>
  <c r="P25" i="8"/>
  <c r="W113" i="2"/>
  <c r="W12" i="7" s="1"/>
  <c r="W13" i="7" s="1"/>
  <c r="F268" i="8" l="1"/>
  <c r="E268" i="8"/>
  <c r="G268" i="8" l="1"/>
  <c r="J268" i="8" s="1"/>
  <c r="I268" i="8" l="1"/>
  <c r="D269" i="8" s="1"/>
  <c r="E269" i="8" s="1"/>
  <c r="F269" i="8" l="1"/>
  <c r="G269" i="8" s="1"/>
  <c r="J269" i="8" s="1"/>
  <c r="I269" i="8" s="1"/>
  <c r="D270" i="8" s="1"/>
  <c r="F270" i="8" l="1"/>
  <c r="E270" i="8"/>
  <c r="G270" i="8" l="1"/>
  <c r="J270" i="8" l="1"/>
  <c r="I270" i="8" s="1"/>
  <c r="D271" i="8" s="1"/>
  <c r="F271" i="8" l="1"/>
  <c r="E271" i="8"/>
  <c r="G271" i="8" l="1"/>
  <c r="J271" i="8" s="1"/>
  <c r="I271" i="8" s="1"/>
  <c r="D272" i="8" s="1"/>
  <c r="E272" i="8" l="1"/>
  <c r="F272" i="8"/>
  <c r="G272" i="8" l="1"/>
  <c r="J272" i="8" s="1"/>
  <c r="I272" i="8" s="1"/>
  <c r="D273" i="8" s="1"/>
  <c r="F273" i="8" l="1"/>
  <c r="E273" i="8"/>
  <c r="G273" i="8" l="1"/>
  <c r="J273" i="8" s="1"/>
  <c r="I273" i="8" s="1"/>
  <c r="D274" i="8" s="1"/>
  <c r="F274" i="8" l="1"/>
  <c r="E274" i="8"/>
  <c r="G274" i="8" l="1"/>
  <c r="J274" i="8" s="1"/>
  <c r="I274" i="8" l="1"/>
  <c r="D275" i="8" s="1"/>
  <c r="E275" i="8" l="1"/>
  <c r="F275" i="8"/>
  <c r="G275" i="8" l="1"/>
  <c r="J275" i="8" s="1"/>
  <c r="I275" i="8" s="1"/>
  <c r="D276" i="8" s="1"/>
  <c r="F276" i="8" s="1"/>
  <c r="E276" i="8" l="1"/>
  <c r="G276" i="8" s="1"/>
  <c r="J276" i="8" s="1"/>
  <c r="I276" i="8" s="1"/>
  <c r="D277" i="8" s="1"/>
  <c r="F277" i="8" s="1"/>
  <c r="E277" i="8" l="1"/>
  <c r="G277" i="8" s="1"/>
  <c r="J277" i="8" s="1"/>
  <c r="I277" i="8" l="1"/>
  <c r="D278" i="8" s="1"/>
  <c r="E278" i="8" s="1"/>
  <c r="F278" i="8" l="1"/>
  <c r="G278" i="8" s="1"/>
  <c r="J278" i="8" s="1"/>
  <c r="I278" i="8" s="1"/>
  <c r="D279" i="8" s="1"/>
  <c r="F279" i="8" l="1"/>
  <c r="E279" i="8"/>
  <c r="G279" i="8" l="1"/>
  <c r="J279" i="8" s="1"/>
  <c r="I279" i="8" s="1"/>
  <c r="D280" i="8" l="1"/>
  <c r="P26" i="8"/>
  <c r="X113" i="2"/>
  <c r="X12" i="7" s="1"/>
  <c r="X13" i="7" s="1"/>
  <c r="F280" i="8" l="1"/>
  <c r="E280" i="8"/>
  <c r="G280" i="8" l="1"/>
  <c r="J280" i="8" l="1"/>
  <c r="I280" i="8" s="1"/>
  <c r="D281" i="8" s="1"/>
  <c r="E281" i="8" l="1"/>
  <c r="F281" i="8"/>
  <c r="G281" i="8" l="1"/>
  <c r="J281" i="8" l="1"/>
  <c r="I281" i="8" s="1"/>
  <c r="D282" i="8" s="1"/>
  <c r="F282" i="8" l="1"/>
  <c r="E282" i="8"/>
  <c r="G282" i="8" l="1"/>
  <c r="J282" i="8" s="1"/>
  <c r="I282" i="8" s="1"/>
  <c r="D283" i="8" s="1"/>
  <c r="F283" i="8" l="1"/>
  <c r="E283" i="8"/>
  <c r="G283" i="8" l="1"/>
  <c r="J283" i="8" l="1"/>
  <c r="I283" i="8" s="1"/>
  <c r="D284" i="8" s="1"/>
  <c r="E284" i="8" l="1"/>
  <c r="F284" i="8"/>
  <c r="G284" i="8" l="1"/>
  <c r="J284" i="8" s="1"/>
  <c r="I284" i="8" l="1"/>
  <c r="D285" i="8" s="1"/>
  <c r="F285" i="8" s="1"/>
  <c r="E285" i="8" l="1"/>
  <c r="G285" i="8" s="1"/>
  <c r="J285" i="8" s="1"/>
  <c r="I285" i="8" s="1"/>
  <c r="D286" i="8" s="1"/>
  <c r="F286" i="8" l="1"/>
  <c r="E286" i="8"/>
  <c r="G286" i="8" l="1"/>
  <c r="J286" i="8" s="1"/>
  <c r="I286" i="8" s="1"/>
  <c r="D287" i="8" s="1"/>
  <c r="E287" i="8" l="1"/>
  <c r="F287" i="8"/>
  <c r="G287" i="8" l="1"/>
  <c r="J287" i="8" s="1"/>
  <c r="I287" i="8" l="1"/>
  <c r="D288" i="8" s="1"/>
  <c r="F288" i="8" s="1"/>
  <c r="E288" i="8" l="1"/>
  <c r="G288" i="8" s="1"/>
  <c r="J288" i="8" s="1"/>
  <c r="I288" i="8" l="1"/>
  <c r="D289" i="8" s="1"/>
  <c r="F289" i="8" s="1"/>
  <c r="E289" i="8" l="1"/>
  <c r="G289" i="8" s="1"/>
  <c r="J289" i="8" s="1"/>
  <c r="I289" i="8" s="1"/>
  <c r="D290" i="8" s="1"/>
  <c r="E290" i="8" l="1"/>
  <c r="F290" i="8"/>
  <c r="G290" i="8" l="1"/>
  <c r="J290" i="8" s="1"/>
  <c r="I290" i="8" s="1"/>
  <c r="D291" i="8" s="1"/>
  <c r="F291" i="8" l="1"/>
  <c r="E291" i="8"/>
  <c r="G291" i="8" l="1"/>
  <c r="J291" i="8" s="1"/>
  <c r="I291" i="8" l="1"/>
  <c r="D292" i="8" s="1"/>
  <c r="Y113" i="2" l="1"/>
  <c r="Y12" i="7" s="1"/>
  <c r="Y13" i="7" s="1"/>
  <c r="P27" i="8"/>
  <c r="F292" i="8"/>
  <c r="E292" i="8"/>
  <c r="G292" i="8" l="1"/>
  <c r="J292" i="8" l="1"/>
  <c r="I292" i="8" s="1"/>
  <c r="D293" i="8" s="1"/>
  <c r="E293" i="8" l="1"/>
  <c r="F293" i="8"/>
  <c r="G293" i="8" l="1"/>
  <c r="J293" i="8" l="1"/>
  <c r="I293" i="8" s="1"/>
  <c r="D294" i="8" s="1"/>
  <c r="F294" i="8" l="1"/>
  <c r="E294" i="8"/>
  <c r="G294" i="8" l="1"/>
  <c r="J294" i="8" l="1"/>
  <c r="I294" i="8" s="1"/>
  <c r="D295" i="8" s="1"/>
  <c r="F295" i="8" l="1"/>
  <c r="E295" i="8"/>
  <c r="G295" i="8" l="1"/>
  <c r="J295" i="8" l="1"/>
  <c r="I295" i="8" s="1"/>
  <c r="D296" i="8" s="1"/>
  <c r="E296" i="8" l="1"/>
  <c r="F296" i="8"/>
  <c r="G296" i="8" l="1"/>
  <c r="J296" i="8" s="1"/>
  <c r="I296" i="8" s="1"/>
  <c r="D297" i="8" s="1"/>
  <c r="F297" i="8" l="1"/>
  <c r="E297" i="8"/>
  <c r="G297" i="8" l="1"/>
  <c r="J297" i="8" s="1"/>
  <c r="I297" i="8" s="1"/>
  <c r="D298" i="8" s="1"/>
  <c r="F298" i="8" l="1"/>
  <c r="E298" i="8"/>
  <c r="G298" i="8" l="1"/>
  <c r="J298" i="8" s="1"/>
  <c r="I298" i="8" s="1"/>
  <c r="D299" i="8" s="1"/>
  <c r="E299" i="8" l="1"/>
  <c r="F299" i="8"/>
  <c r="G299" i="8" l="1"/>
  <c r="J299" i="8" s="1"/>
  <c r="I299" i="8" s="1"/>
  <c r="D300" i="8" s="1"/>
  <c r="E300" i="8" l="1"/>
  <c r="F300" i="8"/>
  <c r="G300" i="8" l="1"/>
  <c r="J300" i="8" s="1"/>
  <c r="I300" i="8" s="1"/>
  <c r="D301" i="8" s="1"/>
  <c r="F301" i="8" l="1"/>
  <c r="E301" i="8"/>
  <c r="G301" i="8" l="1"/>
  <c r="J301" i="8" s="1"/>
  <c r="I301" i="8" s="1"/>
  <c r="D302" i="8" s="1"/>
  <c r="E302" i="8" l="1"/>
  <c r="F302" i="8"/>
  <c r="G302" i="8" l="1"/>
  <c r="J302" i="8" s="1"/>
  <c r="I302" i="8" s="1"/>
  <c r="D303" i="8" s="1"/>
  <c r="E303" i="8" l="1"/>
  <c r="F303" i="8"/>
  <c r="G303" i="8" l="1"/>
  <c r="J303" i="8" s="1"/>
  <c r="I303" i="8" s="1"/>
  <c r="D304" i="8" l="1"/>
  <c r="P28" i="8"/>
  <c r="Z113" i="2"/>
  <c r="Z12" i="7" s="1"/>
  <c r="Z13" i="7" s="1"/>
  <c r="F304" i="8" l="1"/>
  <c r="E304" i="8"/>
  <c r="G304" i="8" l="1"/>
  <c r="J304" i="8" l="1"/>
  <c r="I304" i="8" s="1"/>
  <c r="D305" i="8" s="1"/>
  <c r="E305" i="8" l="1"/>
  <c r="F305" i="8"/>
  <c r="G305" i="8" l="1"/>
  <c r="J305" i="8" l="1"/>
  <c r="I305" i="8" s="1"/>
  <c r="D306" i="8" s="1"/>
  <c r="E306" i="8" l="1"/>
  <c r="F306" i="8"/>
  <c r="G306" i="8" l="1"/>
  <c r="J306" i="8" s="1"/>
  <c r="I306" i="8" l="1"/>
  <c r="D307" i="8" s="1"/>
  <c r="F307" i="8" s="1"/>
  <c r="E307" i="8" l="1"/>
  <c r="G307" i="8" s="1"/>
  <c r="J307" i="8" l="1"/>
  <c r="I307" i="8" s="1"/>
  <c r="D308" i="8" s="1"/>
  <c r="E308" i="8" l="1"/>
  <c r="F308" i="8"/>
  <c r="G308" i="8" l="1"/>
  <c r="J308" i="8" s="1"/>
  <c r="I308" i="8" l="1"/>
  <c r="D309" i="8" s="1"/>
  <c r="F309" i="8" s="1"/>
  <c r="E309" i="8" l="1"/>
  <c r="G309" i="8" s="1"/>
  <c r="J309" i="8" l="1"/>
  <c r="I309" i="8" s="1"/>
  <c r="D310" i="8" s="1"/>
  <c r="F310" i="8" s="1"/>
  <c r="E310" i="8" l="1"/>
  <c r="G310" i="8" s="1"/>
  <c r="J310" i="8" s="1"/>
  <c r="I310" i="8" s="1"/>
  <c r="D311" i="8" s="1"/>
  <c r="E311" i="8" l="1"/>
  <c r="F311" i="8"/>
  <c r="G311" i="8" l="1"/>
  <c r="J311" i="8" s="1"/>
  <c r="I311" i="8" s="1"/>
  <c r="D312" i="8" s="1"/>
  <c r="F312" i="8" l="1"/>
  <c r="E312" i="8"/>
  <c r="G312" i="8" l="1"/>
  <c r="J312" i="8" s="1"/>
  <c r="I312" i="8" s="1"/>
  <c r="D313" i="8" s="1"/>
  <c r="F313" i="8" l="1"/>
  <c r="E313" i="8"/>
  <c r="G313" i="8" l="1"/>
  <c r="J313" i="8" s="1"/>
  <c r="I313" i="8" s="1"/>
  <c r="D314" i="8" s="1"/>
  <c r="E314" i="8" l="1"/>
  <c r="F314" i="8"/>
  <c r="G314" i="8" l="1"/>
  <c r="J314" i="8" s="1"/>
  <c r="I314" i="8" s="1"/>
  <c r="D315" i="8" s="1"/>
  <c r="F315" i="8" l="1"/>
  <c r="E315" i="8"/>
  <c r="G315" i="8" l="1"/>
  <c r="J315" i="8" s="1"/>
  <c r="I315" i="8" s="1"/>
  <c r="D316" i="8" l="1"/>
  <c r="P29" i="8"/>
  <c r="AA113" i="2"/>
  <c r="AA12" i="7" s="1"/>
  <c r="AA13" i="7" s="1"/>
  <c r="F316" i="8" l="1"/>
  <c r="E316" i="8"/>
  <c r="G316" i="8" l="1"/>
  <c r="J316" i="8" l="1"/>
  <c r="I316" i="8" s="1"/>
  <c r="D317" i="8" s="1"/>
  <c r="E317" i="8" l="1"/>
  <c r="F317" i="8"/>
  <c r="G317" i="8" l="1"/>
  <c r="J317" i="8" l="1"/>
  <c r="I317" i="8" s="1"/>
  <c r="D318" i="8" s="1"/>
  <c r="F318" i="8" l="1"/>
  <c r="E318" i="8"/>
  <c r="G318" i="8" l="1"/>
  <c r="J318" i="8" s="1"/>
  <c r="I318" i="8" s="1"/>
  <c r="D319" i="8" s="1"/>
  <c r="F319" i="8" l="1"/>
  <c r="E319" i="8"/>
  <c r="G319" i="8" l="1"/>
  <c r="J319" i="8" l="1"/>
  <c r="I319" i="8" s="1"/>
  <c r="D320" i="8" s="1"/>
  <c r="E320" i="8" l="1"/>
  <c r="F320" i="8"/>
  <c r="G320" i="8" l="1"/>
  <c r="J320" i="8" l="1"/>
  <c r="I320" i="8" s="1"/>
  <c r="D321" i="8" s="1"/>
  <c r="F321" i="8" s="1"/>
  <c r="E321" i="8" l="1"/>
  <c r="G321" i="8" s="1"/>
  <c r="J321" i="8" s="1"/>
  <c r="I321" i="8" s="1"/>
  <c r="D322" i="8" s="1"/>
  <c r="F322" i="8" l="1"/>
  <c r="E322" i="8"/>
  <c r="G322" i="8" l="1"/>
  <c r="J322" i="8" s="1"/>
  <c r="I322" i="8" s="1"/>
  <c r="D323" i="8" s="1"/>
  <c r="E323" i="8" l="1"/>
  <c r="F323" i="8"/>
  <c r="G323" i="8" l="1"/>
  <c r="J323" i="8" s="1"/>
  <c r="I323" i="8" s="1"/>
  <c r="D324" i="8" s="1"/>
  <c r="E324" i="8" l="1"/>
  <c r="F324" i="8"/>
  <c r="G324" i="8" l="1"/>
  <c r="J324" i="8" s="1"/>
  <c r="I324" i="8" s="1"/>
  <c r="D325" i="8" s="1"/>
  <c r="F325" i="8" l="1"/>
  <c r="E325" i="8"/>
  <c r="G325" i="8" l="1"/>
  <c r="J325" i="8" s="1"/>
  <c r="I325" i="8" s="1"/>
  <c r="D326" i="8" s="1"/>
  <c r="E326" i="8" l="1"/>
  <c r="F326" i="8"/>
  <c r="G326" i="8" l="1"/>
  <c r="J326" i="8" s="1"/>
  <c r="I326" i="8" l="1"/>
  <c r="D327" i="8" s="1"/>
  <c r="F327" i="8" s="1"/>
  <c r="E327" i="8" l="1"/>
  <c r="G327" i="8" s="1"/>
  <c r="J327" i="8" s="1"/>
  <c r="I327" i="8" s="1"/>
  <c r="D328" i="8" l="1"/>
  <c r="AB113" i="2"/>
  <c r="AB12" i="7" s="1"/>
  <c r="AB13" i="7" s="1"/>
  <c r="P30" i="8"/>
  <c r="F328" i="8" l="1"/>
  <c r="E328" i="8"/>
  <c r="G328" i="8" l="1"/>
  <c r="J328" i="8" s="1"/>
  <c r="I328" i="8" s="1"/>
  <c r="D329" i="8" s="1"/>
  <c r="E329" i="8" l="1"/>
  <c r="F329" i="8"/>
  <c r="G329" i="8" l="1"/>
  <c r="J329" i="8" s="1"/>
  <c r="I329" i="8" l="1"/>
  <c r="D330" i="8" s="1"/>
  <c r="F330" i="8" s="1"/>
  <c r="E330" i="8" l="1"/>
  <c r="G330" i="8" s="1"/>
  <c r="J330" i="8" l="1"/>
  <c r="I330" i="8" s="1"/>
  <c r="D331" i="8" s="1"/>
  <c r="F331" i="8" l="1"/>
  <c r="E331" i="8"/>
  <c r="G331" i="8" l="1"/>
  <c r="J331" i="8" s="1"/>
  <c r="I331" i="8" s="1"/>
  <c r="D332" i="8" s="1"/>
  <c r="E332" i="8" l="1"/>
  <c r="F332" i="8"/>
  <c r="G332" i="8" l="1"/>
  <c r="J332" i="8" s="1"/>
  <c r="I332" i="8" s="1"/>
  <c r="D333" i="8" s="1"/>
  <c r="E333" i="8" l="1"/>
  <c r="F333" i="8"/>
  <c r="G333" i="8" l="1"/>
  <c r="J333" i="8" s="1"/>
  <c r="I333" i="8" s="1"/>
  <c r="D334" i="8" s="1"/>
  <c r="F334" i="8" l="1"/>
  <c r="E334" i="8"/>
  <c r="G334" i="8" l="1"/>
  <c r="J334" i="8" s="1"/>
  <c r="I334" i="8" s="1"/>
  <c r="D335" i="8" s="1"/>
  <c r="E335" i="8" l="1"/>
  <c r="F335" i="8"/>
  <c r="G335" i="8" l="1"/>
  <c r="J335" i="8" s="1"/>
  <c r="I335" i="8" s="1"/>
  <c r="D336" i="8" s="1"/>
  <c r="E336" i="8" l="1"/>
  <c r="F336" i="8"/>
  <c r="G336" i="8" l="1"/>
  <c r="J336" i="8" s="1"/>
  <c r="I336" i="8" s="1"/>
  <c r="D337" i="8" s="1"/>
  <c r="F337" i="8" l="1"/>
  <c r="E337" i="8"/>
  <c r="G337" i="8" l="1"/>
  <c r="J337" i="8" s="1"/>
  <c r="I337" i="8" s="1"/>
  <c r="D338" i="8" s="1"/>
  <c r="E338" i="8" s="1"/>
  <c r="F338" i="8" l="1"/>
  <c r="G338" i="8" s="1"/>
  <c r="J338" i="8" s="1"/>
  <c r="I338" i="8" s="1"/>
  <c r="D339" i="8" s="1"/>
  <c r="F339" i="8" l="1"/>
  <c r="E339" i="8"/>
  <c r="G339" i="8" l="1"/>
  <c r="J339" i="8" s="1"/>
  <c r="I339" i="8" s="1"/>
  <c r="D340" i="8" l="1"/>
  <c r="P31" i="8"/>
  <c r="AC113" i="2"/>
  <c r="AC12" i="7" s="1"/>
  <c r="AC13" i="7" s="1"/>
  <c r="F340" i="8" l="1"/>
  <c r="E340" i="8"/>
  <c r="G340" i="8" l="1"/>
  <c r="J340" i="8" l="1"/>
  <c r="I340" i="8" l="1"/>
  <c r="D341" i="8" s="1"/>
  <c r="E341" i="8" l="1"/>
  <c r="F341" i="8"/>
  <c r="G341" i="8" l="1"/>
  <c r="J341" i="8" l="1"/>
  <c r="I341" i="8" s="1"/>
  <c r="D342" i="8" s="1"/>
  <c r="E342" i="8" l="1"/>
  <c r="F342" i="8"/>
  <c r="G342" i="8" l="1"/>
  <c r="J342" i="8" s="1"/>
  <c r="I342" i="8" s="1"/>
  <c r="D343" i="8" s="1"/>
  <c r="F343" i="8" l="1"/>
  <c r="E343" i="8"/>
  <c r="G343" i="8" l="1"/>
  <c r="J343" i="8" l="1"/>
  <c r="I343" i="8" s="1"/>
  <c r="D344" i="8" s="1"/>
  <c r="E344" i="8" l="1"/>
  <c r="F344" i="8"/>
  <c r="G344" i="8" l="1"/>
  <c r="J344" i="8" s="1"/>
  <c r="I344" i="8" l="1"/>
  <c r="D345" i="8" s="1"/>
  <c r="F345" i="8" s="1"/>
  <c r="E345" i="8" l="1"/>
  <c r="G345" i="8" s="1"/>
  <c r="J345" i="8" s="1"/>
  <c r="I345" i="8" l="1"/>
  <c r="D346" i="8" s="1"/>
  <c r="F346" i="8" s="1"/>
  <c r="E346" i="8" l="1"/>
  <c r="G346" i="8" s="1"/>
  <c r="J346" i="8" s="1"/>
  <c r="I346" i="8" s="1"/>
  <c r="D347" i="8" s="1"/>
  <c r="E347" i="8" l="1"/>
  <c r="F347" i="8"/>
  <c r="G347" i="8" l="1"/>
  <c r="J347" i="8" s="1"/>
  <c r="I347" i="8" l="1"/>
  <c r="D348" i="8" s="1"/>
  <c r="F348" i="8" s="1"/>
  <c r="E348" i="8" l="1"/>
  <c r="G348" i="8" s="1"/>
  <c r="J348" i="8" s="1"/>
  <c r="I348" i="8" l="1"/>
  <c r="D349" i="8" s="1"/>
  <c r="E349" i="8" s="1"/>
  <c r="F349" i="8" l="1"/>
  <c r="G349" i="8" s="1"/>
  <c r="J349" i="8" s="1"/>
  <c r="I349" i="8" s="1"/>
  <c r="D350" i="8" s="1"/>
  <c r="E350" i="8" l="1"/>
  <c r="F350" i="8"/>
  <c r="G350" i="8" l="1"/>
  <c r="J350" i="8" s="1"/>
  <c r="I350" i="8" s="1"/>
  <c r="D351" i="8" s="1"/>
  <c r="F351" i="8" l="1"/>
  <c r="E351" i="8"/>
  <c r="G351" i="8" l="1"/>
  <c r="J351" i="8" s="1"/>
  <c r="I351" i="8" s="1"/>
  <c r="D352" i="8" l="1"/>
  <c r="P32" i="8"/>
  <c r="AD113" i="2"/>
  <c r="AD12" i="7" s="1"/>
  <c r="AD13" i="7" s="1"/>
  <c r="F352" i="8" l="1"/>
  <c r="E352" i="8"/>
  <c r="G352" i="8" l="1"/>
  <c r="J352" i="8" l="1"/>
  <c r="I352" i="8" l="1"/>
  <c r="D353" i="8" s="1"/>
  <c r="E353" i="8" l="1"/>
  <c r="F353" i="8"/>
  <c r="G353" i="8" l="1"/>
  <c r="J353" i="8" s="1"/>
  <c r="I353" i="8" l="1"/>
  <c r="D354" i="8" s="1"/>
  <c r="F354" i="8" l="1"/>
  <c r="E354" i="8"/>
  <c r="G354" i="8" l="1"/>
  <c r="J354" i="8" l="1"/>
  <c r="I354" i="8" s="1"/>
  <c r="D355" i="8" s="1"/>
  <c r="F355" i="8" l="1"/>
  <c r="E355" i="8"/>
  <c r="G355" i="8" l="1"/>
  <c r="J355" i="8" l="1"/>
  <c r="I355" i="8" s="1"/>
  <c r="D356" i="8" s="1"/>
  <c r="E356" i="8" l="1"/>
  <c r="F356" i="8"/>
  <c r="G356" i="8" l="1"/>
  <c r="J356" i="8" s="1"/>
  <c r="I356" i="8" s="1"/>
  <c r="D357" i="8" s="1"/>
  <c r="F357" i="8" l="1"/>
  <c r="E357" i="8"/>
  <c r="G357" i="8" l="1"/>
  <c r="J357" i="8" s="1"/>
  <c r="I357" i="8" l="1"/>
  <c r="D358" i="8" s="1"/>
  <c r="F358" i="8" s="1"/>
  <c r="E358" i="8" l="1"/>
  <c r="G358" i="8" s="1"/>
  <c r="J358" i="8" s="1"/>
  <c r="I358" i="8" s="1"/>
  <c r="D359" i="8" s="1"/>
  <c r="E359" i="8" l="1"/>
  <c r="F359" i="8"/>
  <c r="G359" i="8" l="1"/>
  <c r="J359" i="8" s="1"/>
  <c r="I359" i="8" s="1"/>
  <c r="D360" i="8" s="1"/>
  <c r="F360" i="8" l="1"/>
  <c r="E360" i="8"/>
  <c r="G360" i="8" l="1"/>
  <c r="J360" i="8" s="1"/>
  <c r="I360" i="8" l="1"/>
  <c r="D361" i="8" s="1"/>
  <c r="F361" i="8" s="1"/>
  <c r="E361" i="8" l="1"/>
  <c r="G361" i="8" s="1"/>
  <c r="J361" i="8" s="1"/>
  <c r="I361" i="8" s="1"/>
  <c r="D362" i="8" s="1"/>
  <c r="E362" i="8" l="1"/>
  <c r="F362" i="8"/>
  <c r="G362" i="8" l="1"/>
  <c r="J362" i="8" s="1"/>
  <c r="I362" i="8" s="1"/>
  <c r="D363" i="8" s="1"/>
  <c r="F363" i="8" l="1"/>
  <c r="E363" i="8"/>
  <c r="G363" i="8" l="1"/>
  <c r="N4" i="8"/>
  <c r="N5" i="8"/>
  <c r="N6" i="8"/>
  <c r="N7" i="8"/>
  <c r="N8" i="8"/>
  <c r="N9" i="8"/>
  <c r="N10" i="8"/>
  <c r="N11" i="8"/>
  <c r="N12" i="8"/>
  <c r="N13" i="8"/>
  <c r="N14" i="8"/>
  <c r="N15" i="8"/>
  <c r="N16" i="8"/>
  <c r="N17" i="8"/>
  <c r="N18" i="8"/>
  <c r="N19" i="8"/>
  <c r="N20" i="8"/>
  <c r="N21" i="8"/>
  <c r="N22" i="8"/>
  <c r="N23" i="8"/>
  <c r="N24" i="8"/>
  <c r="N25" i="8"/>
  <c r="N26" i="8"/>
  <c r="N27" i="8"/>
  <c r="N28" i="8"/>
  <c r="N29" i="8"/>
  <c r="N30" i="8"/>
  <c r="N31" i="8"/>
  <c r="N32" i="8"/>
  <c r="N33" i="8"/>
  <c r="M4" i="8"/>
  <c r="B111" i="2"/>
  <c r="M5" i="8"/>
  <c r="C111" i="2"/>
  <c r="M6" i="8"/>
  <c r="D111" i="2"/>
  <c r="E111" i="2"/>
  <c r="M7" i="8"/>
  <c r="F111" i="2"/>
  <c r="M8" i="8"/>
  <c r="G111" i="2"/>
  <c r="M9" i="8"/>
  <c r="H111" i="2"/>
  <c r="M10" i="8"/>
  <c r="I111" i="2"/>
  <c r="M11" i="8"/>
  <c r="J111" i="2"/>
  <c r="M12" i="8"/>
  <c r="M13" i="8"/>
  <c r="K111" i="2"/>
  <c r="M14" i="8"/>
  <c r="L111" i="2"/>
  <c r="M15" i="8"/>
  <c r="M111" i="2"/>
  <c r="N111" i="2"/>
  <c r="M16" i="8"/>
  <c r="M17" i="8"/>
  <c r="O111" i="2"/>
  <c r="M18" i="8"/>
  <c r="P111" i="2"/>
  <c r="Q111" i="2"/>
  <c r="M19" i="8"/>
  <c r="R111" i="2"/>
  <c r="M20" i="8"/>
  <c r="S111" i="2"/>
  <c r="M21" i="8"/>
  <c r="T111" i="2"/>
  <c r="M22" i="8"/>
  <c r="U111" i="2"/>
  <c r="M23" i="8"/>
  <c r="M24" i="8"/>
  <c r="V111" i="2"/>
  <c r="M25" i="8"/>
  <c r="W111" i="2"/>
  <c r="M26" i="8"/>
  <c r="X111" i="2"/>
  <c r="Y111" i="2"/>
  <c r="M27" i="8"/>
  <c r="Z111" i="2"/>
  <c r="M28" i="8"/>
  <c r="M29" i="8"/>
  <c r="AA111" i="2"/>
  <c r="M30" i="8"/>
  <c r="AB111" i="2"/>
  <c r="M31" i="8"/>
  <c r="AC111" i="2"/>
  <c r="AD111" i="2"/>
  <c r="M32" i="8"/>
  <c r="M33" i="8"/>
  <c r="B107" i="2"/>
  <c r="B109" i="2" s="1"/>
  <c r="L4" i="8"/>
  <c r="L5" i="8"/>
  <c r="C107" i="2"/>
  <c r="L6" i="8"/>
  <c r="D107" i="2"/>
  <c r="E107" i="2"/>
  <c r="L7" i="8"/>
  <c r="L8" i="8"/>
  <c r="F107" i="2"/>
  <c r="L9" i="8"/>
  <c r="G107" i="2"/>
  <c r="L10" i="8"/>
  <c r="H107" i="2"/>
  <c r="I107" i="2"/>
  <c r="L11" i="8"/>
  <c r="J107" i="2"/>
  <c r="L12" i="8"/>
  <c r="K107" i="2"/>
  <c r="L13" i="8"/>
  <c r="L107" i="2"/>
  <c r="L14" i="8"/>
  <c r="M107" i="2"/>
  <c r="L15" i="8"/>
  <c r="N107" i="2"/>
  <c r="L16" i="8"/>
  <c r="L17" i="8"/>
  <c r="O107" i="2"/>
  <c r="L18" i="8"/>
  <c r="P107" i="2"/>
  <c r="L19" i="8"/>
  <c r="Q107" i="2"/>
  <c r="L20" i="8"/>
  <c r="R107" i="2"/>
  <c r="L21" i="8"/>
  <c r="S107" i="2"/>
  <c r="L22" i="8"/>
  <c r="T107" i="2"/>
  <c r="L23" i="8"/>
  <c r="U107" i="2"/>
  <c r="V107" i="2"/>
  <c r="L24" i="8"/>
  <c r="L25" i="8"/>
  <c r="W107" i="2"/>
  <c r="L26" i="8"/>
  <c r="X107" i="2"/>
  <c r="L27" i="8"/>
  <c r="Y107" i="2"/>
  <c r="L28" i="8"/>
  <c r="Z107" i="2"/>
  <c r="L29" i="8"/>
  <c r="AA107" i="2"/>
  <c r="L30" i="8"/>
  <c r="AB107" i="2"/>
  <c r="AC107" i="2"/>
  <c r="L31" i="8"/>
  <c r="AD107" i="2"/>
  <c r="L32" i="8"/>
  <c r="L33" i="8"/>
  <c r="AE107" i="2"/>
  <c r="J363" i="8"/>
  <c r="AE111" i="2" s="1"/>
  <c r="K109" i="2" l="1"/>
  <c r="K110" i="2" s="1"/>
  <c r="K112" i="2" s="1"/>
  <c r="E109" i="2"/>
  <c r="E110" i="2" s="1"/>
  <c r="E112" i="2" s="1"/>
  <c r="AC109" i="2"/>
  <c r="AC110" i="2" s="1"/>
  <c r="AC112" i="2" s="1"/>
  <c r="AC7" i="7" s="1"/>
  <c r="AC9" i="7" s="1"/>
  <c r="AB109" i="2"/>
  <c r="AB110" i="2" s="1"/>
  <c r="AB112" i="2" s="1"/>
  <c r="AB7" i="7" s="1"/>
  <c r="AB9" i="7" s="1"/>
  <c r="P109" i="2"/>
  <c r="P110" i="2" s="1"/>
  <c r="P112" i="2" s="1"/>
  <c r="P7" i="7" s="1"/>
  <c r="P9" i="7" s="1"/>
  <c r="D109" i="2"/>
  <c r="D110" i="2" s="1"/>
  <c r="D112" i="2" s="1"/>
  <c r="V109" i="2"/>
  <c r="V110" i="2" s="1"/>
  <c r="V112" i="2" s="1"/>
  <c r="V7" i="7" s="1"/>
  <c r="V9" i="7" s="1"/>
  <c r="J109" i="2"/>
  <c r="J110" i="2" s="1"/>
  <c r="J112" i="2" s="1"/>
  <c r="AA109" i="2"/>
  <c r="AA110" i="2" s="1"/>
  <c r="AA112" i="2" s="1"/>
  <c r="AA7" i="7" s="1"/>
  <c r="AA9" i="7" s="1"/>
  <c r="U109" i="2"/>
  <c r="U110" i="2" s="1"/>
  <c r="U112" i="2" s="1"/>
  <c r="U7" i="7" s="1"/>
  <c r="U9" i="7" s="1"/>
  <c r="O109" i="2"/>
  <c r="O110" i="2" s="1"/>
  <c r="O112" i="2" s="1"/>
  <c r="O7" i="7" s="1"/>
  <c r="O9" i="7" s="1"/>
  <c r="C109" i="2"/>
  <c r="C110" i="2" s="1"/>
  <c r="C112" i="2" s="1"/>
  <c r="W109" i="2"/>
  <c r="W110" i="2" s="1"/>
  <c r="W112" i="2" s="1"/>
  <c r="W7" i="7" s="1"/>
  <c r="W9" i="7" s="1"/>
  <c r="I109" i="2"/>
  <c r="I110" i="2" s="1"/>
  <c r="I112" i="2" s="1"/>
  <c r="L109" i="2"/>
  <c r="L110" i="2" s="1"/>
  <c r="L112" i="2" s="1"/>
  <c r="L7" i="7" s="1"/>
  <c r="L9" i="7" s="1"/>
  <c r="Z109" i="2"/>
  <c r="Z110" i="2" s="1"/>
  <c r="Z112" i="2" s="1"/>
  <c r="Z7" i="7" s="1"/>
  <c r="Z9" i="7" s="1"/>
  <c r="T109" i="2"/>
  <c r="T110" i="2" s="1"/>
  <c r="T112" i="2" s="1"/>
  <c r="T7" i="7" s="1"/>
  <c r="T9" i="7" s="1"/>
  <c r="H109" i="2"/>
  <c r="H110" i="2" s="1"/>
  <c r="H112" i="2" s="1"/>
  <c r="M109" i="2"/>
  <c r="M110" i="2" s="1"/>
  <c r="M112" i="2" s="1"/>
  <c r="M7" i="7" s="1"/>
  <c r="M9" i="7" s="1"/>
  <c r="N109" i="2"/>
  <c r="N110" i="2" s="1"/>
  <c r="N112" i="2" s="1"/>
  <c r="N7" i="7" s="1"/>
  <c r="N9" i="7" s="1"/>
  <c r="AE109" i="2"/>
  <c r="AE110" i="2" s="1"/>
  <c r="AE112" i="2" s="1"/>
  <c r="AE7" i="7" s="1"/>
  <c r="AE9" i="7" s="1"/>
  <c r="Y109" i="2"/>
  <c r="Y110" i="2" s="1"/>
  <c r="Y112" i="2" s="1"/>
  <c r="Y7" i="7" s="1"/>
  <c r="Y9" i="7" s="1"/>
  <c r="S109" i="2"/>
  <c r="S110" i="2" s="1"/>
  <c r="S112" i="2" s="1"/>
  <c r="S7" i="7" s="1"/>
  <c r="S9" i="7" s="1"/>
  <c r="G109" i="2"/>
  <c r="G110" i="2" s="1"/>
  <c r="G112" i="2" s="1"/>
  <c r="X109" i="2"/>
  <c r="X110" i="2" s="1"/>
  <c r="X112" i="2" s="1"/>
  <c r="X7" i="7" s="1"/>
  <c r="X9" i="7" s="1"/>
  <c r="R109" i="2"/>
  <c r="R110" i="2" s="1"/>
  <c r="R112" i="2" s="1"/>
  <c r="R7" i="7" s="1"/>
  <c r="R9" i="7" s="1"/>
  <c r="F109" i="2"/>
  <c r="F110" i="2" s="1"/>
  <c r="F112" i="2" s="1"/>
  <c r="AD109" i="2"/>
  <c r="AD110" i="2" s="1"/>
  <c r="AD112" i="2" s="1"/>
  <c r="AD7" i="7" s="1"/>
  <c r="AD9" i="7" s="1"/>
  <c r="Q109" i="2"/>
  <c r="Q110" i="2" s="1"/>
  <c r="Q112" i="2" s="1"/>
  <c r="Q7" i="7" s="1"/>
  <c r="Q9" i="7" s="1"/>
  <c r="C35" i="3"/>
  <c r="B25" i="2"/>
  <c r="D18" i="1" s="1"/>
  <c r="B23" i="2"/>
  <c r="I363" i="8"/>
  <c r="C36" i="3"/>
  <c r="B110" i="2"/>
  <c r="B112" i="2" s="1"/>
  <c r="B18" i="1" s="1"/>
  <c r="O4" i="8"/>
  <c r="O5" i="8"/>
  <c r="O6" i="8"/>
  <c r="O7" i="8"/>
  <c r="O8" i="8"/>
  <c r="O9" i="8"/>
  <c r="O10" i="8"/>
  <c r="O11" i="8"/>
  <c r="O12" i="8"/>
  <c r="O13" i="8"/>
  <c r="O14" i="8"/>
  <c r="O15" i="8"/>
  <c r="O16" i="8"/>
  <c r="O17" i="8"/>
  <c r="O18" i="8"/>
  <c r="O19" i="8"/>
  <c r="O20" i="8"/>
  <c r="O21" i="8"/>
  <c r="O22" i="8"/>
  <c r="O23" i="8"/>
  <c r="O24" i="8"/>
  <c r="O25" i="8"/>
  <c r="O26" i="8"/>
  <c r="O27" i="8"/>
  <c r="O28" i="8"/>
  <c r="O29" i="8"/>
  <c r="O30" i="8"/>
  <c r="O31" i="8"/>
  <c r="O32" i="8"/>
  <c r="O33" i="8"/>
  <c r="B20" i="6" l="1"/>
  <c r="B26" i="1"/>
  <c r="D7" i="7"/>
  <c r="D9" i="7" s="1"/>
  <c r="C55" i="3"/>
  <c r="E7" i="9" s="1"/>
  <c r="G7" i="9" s="1"/>
  <c r="AG4" i="7" s="1"/>
  <c r="N7" i="9"/>
  <c r="C38" i="3"/>
  <c r="B9" i="6"/>
  <c r="P33" i="8"/>
  <c r="AE113" i="2"/>
  <c r="AE12" i="7" s="1"/>
  <c r="AE13" i="7" s="1"/>
  <c r="N5" i="9"/>
  <c r="B7" i="7"/>
  <c r="B29" i="5"/>
  <c r="B31" i="5" s="1"/>
  <c r="C53" i="3"/>
  <c r="C43" i="3"/>
  <c r="C33" i="1" s="1"/>
  <c r="B24" i="2"/>
  <c r="C18" i="1" s="1"/>
  <c r="B19" i="5"/>
  <c r="N10" i="9"/>
  <c r="G7" i="7"/>
  <c r="G9" i="7" s="1"/>
  <c r="C58" i="3"/>
  <c r="E10" i="9" s="1"/>
  <c r="G10" i="9" s="1"/>
  <c r="AG7" i="7" s="1"/>
  <c r="F6" i="2"/>
  <c r="C47" i="3"/>
  <c r="H6" i="2"/>
  <c r="N12" i="9"/>
  <c r="I7" i="7"/>
  <c r="I9" i="7" s="1"/>
  <c r="C60" i="3"/>
  <c r="E12" i="9" s="1"/>
  <c r="G12" i="9" s="1"/>
  <c r="AG9" i="7" s="1"/>
  <c r="N11" i="9"/>
  <c r="H7" i="7"/>
  <c r="H9" i="7" s="1"/>
  <c r="C59" i="3"/>
  <c r="E11" i="9" s="1"/>
  <c r="G11" i="9" s="1"/>
  <c r="AG8" i="7" s="1"/>
  <c r="N6" i="9"/>
  <c r="C54" i="3"/>
  <c r="E6" i="9" s="1"/>
  <c r="G6" i="9" s="1"/>
  <c r="AG3" i="7" s="1"/>
  <c r="C7" i="7"/>
  <c r="C9" i="7" s="1"/>
  <c r="N14" i="9"/>
  <c r="K7" i="7"/>
  <c r="K9" i="7" s="1"/>
  <c r="C62" i="3"/>
  <c r="E14" i="9" s="1"/>
  <c r="G14" i="9" s="1"/>
  <c r="AG11" i="7" s="1"/>
  <c r="N8" i="9"/>
  <c r="C56" i="3"/>
  <c r="E8" i="9" s="1"/>
  <c r="G8" i="9" s="1"/>
  <c r="AG5" i="7" s="1"/>
  <c r="E7" i="7"/>
  <c r="E9" i="7" s="1"/>
  <c r="N9" i="9"/>
  <c r="F7" i="7"/>
  <c r="F9" i="7" s="1"/>
  <c r="C57" i="3"/>
  <c r="E9" i="9" s="1"/>
  <c r="G9" i="9" s="1"/>
  <c r="AG6" i="7" s="1"/>
  <c r="N13" i="9"/>
  <c r="J7" i="7"/>
  <c r="J9" i="7" s="1"/>
  <c r="C61" i="3"/>
  <c r="E13" i="9" s="1"/>
  <c r="G13" i="9" s="1"/>
  <c r="AG10" i="7" s="1"/>
  <c r="G6" i="2" l="1"/>
  <c r="E5" i="9"/>
  <c r="G5" i="9" s="1"/>
  <c r="C84" i="3"/>
  <c r="C30" i="1" s="1"/>
  <c r="B37" i="5"/>
  <c r="B21" i="5"/>
  <c r="B15" i="7"/>
  <c r="C15" i="7" s="1"/>
  <c r="D15" i="7" s="1"/>
  <c r="E15" i="7" s="1"/>
  <c r="F15" i="7" s="1"/>
  <c r="G15" i="7" s="1"/>
  <c r="H15" i="7" s="1"/>
  <c r="I15" i="7" s="1"/>
  <c r="J15" i="7" s="1"/>
  <c r="K15" i="7" s="1"/>
  <c r="B9" i="7"/>
  <c r="B18" i="7"/>
  <c r="C42" i="9"/>
  <c r="I6" i="2" s="1"/>
  <c r="F18" i="1" s="1"/>
  <c r="B43" i="5" l="1"/>
  <c r="B44" i="5" s="1"/>
  <c r="E22" i="1"/>
  <c r="B32" i="5"/>
  <c r="D22" i="1"/>
  <c r="B24" i="7"/>
  <c r="L15" i="7"/>
  <c r="M15" i="7" s="1"/>
  <c r="N15" i="7" s="1"/>
  <c r="O15" i="7" s="1"/>
  <c r="P15" i="7" s="1"/>
  <c r="Q15" i="7" s="1"/>
  <c r="R15" i="7" s="1"/>
  <c r="S15" i="7" s="1"/>
  <c r="T15" i="7" s="1"/>
  <c r="U15" i="7" s="1"/>
  <c r="V15" i="7" s="1"/>
  <c r="W15" i="7" s="1"/>
  <c r="X15" i="7" s="1"/>
  <c r="Y15" i="7" s="1"/>
  <c r="Z15" i="7" s="1"/>
  <c r="AA15" i="7" s="1"/>
  <c r="AB15" i="7" s="1"/>
  <c r="AC15" i="7" s="1"/>
  <c r="AD15" i="7" s="1"/>
  <c r="AE15" i="7" s="1"/>
  <c r="B15" i="2"/>
  <c r="G8" i="2"/>
  <c r="B19" i="7"/>
  <c r="B14" i="7"/>
  <c r="C14" i="7" s="1"/>
  <c r="D14" i="7" s="1"/>
  <c r="E14" i="7" s="1"/>
  <c r="F14" i="7" s="1"/>
  <c r="G14" i="7" s="1"/>
  <c r="H14" i="7" s="1"/>
  <c r="I14" i="7" s="1"/>
  <c r="J14" i="7" s="1"/>
  <c r="K14" i="7" s="1"/>
  <c r="AG2" i="7"/>
  <c r="B22" i="7" s="1"/>
  <c r="C49" i="3"/>
  <c r="C43" i="9"/>
  <c r="H18" i="1" s="1"/>
  <c r="C41" i="9"/>
  <c r="C38" i="9"/>
  <c r="C40" i="9"/>
  <c r="C39" i="9"/>
  <c r="C32" i="1" s="1"/>
  <c r="G18" i="1" l="1"/>
  <c r="C31" i="1"/>
  <c r="M8" i="2"/>
  <c r="L14" i="7"/>
  <c r="M14" i="7" s="1"/>
  <c r="N14" i="7" s="1"/>
  <c r="O14" i="7" s="1"/>
  <c r="P14" i="7" s="1"/>
  <c r="Q14" i="7" s="1"/>
  <c r="R14" i="7" s="1"/>
  <c r="S14" i="7" s="1"/>
  <c r="T14" i="7" s="1"/>
  <c r="U14" i="7" s="1"/>
  <c r="V14" i="7" s="1"/>
  <c r="W14" i="7" s="1"/>
  <c r="X14" i="7" s="1"/>
  <c r="Y14" i="7" s="1"/>
  <c r="Z14" i="7" s="1"/>
  <c r="AA14" i="7" s="1"/>
  <c r="AB14" i="7" s="1"/>
  <c r="AC14" i="7" s="1"/>
  <c r="AD14" i="7" s="1"/>
  <c r="AE14" i="7" s="1"/>
  <c r="B23" i="7"/>
  <c r="B20" i="7"/>
  <c r="B21" i="7" s="1"/>
  <c r="B22" i="2"/>
  <c r="C46" i="3"/>
  <c r="B20" i="2"/>
  <c r="F44" i="3"/>
  <c r="H8" i="2"/>
  <c r="E18" i="1" l="1"/>
  <c r="A41" i="1"/>
  <c r="BA15" i="2"/>
  <c r="BA24" i="2"/>
  <c r="B6" i="13"/>
  <c r="BA6" i="2"/>
  <c r="B24" i="13"/>
  <c r="B15" i="13"/>
  <c r="D6" i="2"/>
  <c r="E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tc={A4566737-4C73-3846-1E52-1292AE067E5C}</author>
    <author>tc={987A0E22-AAF0-981A-C3E1-FDB091BD4A7D}</author>
  </authors>
  <commentList>
    <comment ref="B53" authorId="0" shapeId="0" xr:uid="{00000000-0006-0000-0100-000001000000}">
      <text>
        <r>
          <rPr>
            <sz val="11"/>
            <color theme="1"/>
            <rFont val="Calibri"/>
            <family val="2"/>
          </rPr>
          <t>[Threaded comment]
Your version of Excel allows you to read this threaded comment; however, any edits to it will get removed if the file is opened in a newer version of Excel. Learn more: https://go.microsoft.com/fwlink/?linkid=870924
Comment:
    Source for the 15% test (net, three years): https://www.gesetze-im-internet.de/estg/__6.html</t>
        </r>
      </text>
    </comment>
    <comment ref="B87" authorId="1" shapeId="0" xr:uid="{00000000-0006-0000-0100-000002000000}">
      <text>
        <r>
          <rPr>
            <sz val="11"/>
            <color theme="1"/>
            <rFont val="Calibri"/>
            <family val="2"/>
          </rPr>
          <t>[Threaded comment]
Your version of Excel allows you to read this threaded comment; however, any edits to it will get removed if the file is opened in a newer version of Excel. Learn more: https://go.microsoft.com/fwlink/?linkid=870924
Comment:
    Tax note: Contributions to the HOA maintenance reserve are deductible as income-related expenses only when they are spent on maintenance work. https://www.bundesfinanzhof.de/de/entscheidung/entscheidungen-online/detail/STRE202510025/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tc={861A44A6-E863-D493-A200-CA5740D5D96A}</author>
  </authors>
  <commentList>
    <comment ref="B15" authorId="0" shapeId="0" xr:uid="{00000000-0006-0000-0400-000001000000}">
      <text>
        <r>
          <rPr>
            <sz val="11"/>
            <color theme="1"/>
            <rFont val="Calibri"/>
            <family val="2"/>
          </rPr>
          <t>[Threaded comment]
Your version of Excel allows you to read this threaded comment; however, any edits to it will get removed if the file is opened in a newer version of Excel. Learn more: https://go.microsoft.com/fwlink/?linkid=870924
Comment:
    Source for the ten-year holding-period rule and gain calculation: https://www.gesetze-im-internet.de/estg/__23.html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Modell</author>
  </authors>
  <commentList>
    <comment ref="A42" authorId="0" shapeId="0" xr:uid="{00000000-0006-0000-0800-000001000000}">
      <text>
        <r>
          <rPr>
            <sz val="11"/>
            <color theme="1"/>
            <rFont val="Calibri"/>
            <family val="2"/>
          </rPr>
          <t>Year 0 = −total investment. Operating years = levered cash flow + interest and principal repayment − interest tax shield. The exit year additionally includes the remaining balance (= sale without repaying the loan).</t>
        </r>
      </text>
    </comment>
  </commentList>
</comments>
</file>

<file path=xl/sharedStrings.xml><?xml version="1.0" encoding="utf-8"?>
<sst xmlns="http://schemas.openxmlformats.org/spreadsheetml/2006/main" count="671" uniqueCount="550">
  <si>
    <t>Returns &amp; debt capacity</t>
  </si>
  <si>
    <t>Gross rental yield</t>
  </si>
  <si>
    <t>Net rental yield</t>
  </si>
  <si>
    <t>Levered XIRR (p.a.)</t>
  </si>
  <si>
    <t>Avg. real operating CF</t>
  </si>
  <si>
    <t>Break-even net rent, Year 1</t>
  </si>
  <si>
    <t>Cash-on-cash Y1</t>
  </si>
  <si>
    <t>DSCR Y1</t>
  </si>
  <si>
    <t>Unlevered XIRR (p.a.)</t>
  </si>
  <si>
    <t>NOI p.a.</t>
  </si>
  <si>
    <t>Cap rate (NOI / purchase price)</t>
  </si>
  <si>
    <t>Financing &amp; exit</t>
  </si>
  <si>
    <t>Purchase price multiple</t>
  </si>
  <si>
    <t>LTV</t>
  </si>
  <si>
    <t>Total investment</t>
  </si>
  <si>
    <t>Loan amount</t>
  </si>
  <si>
    <t>Net exit proceeds</t>
  </si>
  <si>
    <t>Investor profit (nominal)</t>
  </si>
  <si>
    <t>Equity Multiple</t>
  </si>
  <si>
    <t>Minimum equity for CF ≥ 0</t>
  </si>
  <si>
    <t>Maximum purchase price with CF ≥ 0</t>
  </si>
  <si>
    <t>Maximum interest rate for CF ≥ 0</t>
  </si>
  <si>
    <t>Maximum purchase price at target XIRR</t>
  </si>
  <si>
    <t>NPV vs. Alternative</t>
  </si>
  <si>
    <t>Scenario comparison</t>
  </si>
  <si>
    <t>Metric</t>
  </si>
  <si>
    <t>Worst</t>
  </si>
  <si>
    <t>Base</t>
  </si>
  <si>
    <t>Best</t>
  </si>
  <si>
    <t>Ø nominaler CF p.a.</t>
  </si>
  <si>
    <t>Levered XIRR</t>
  </si>
  <si>
    <t>Cash flow, Year 1</t>
  </si>
  <si>
    <t>Interest-rate test (linked)</t>
  </si>
  <si>
    <t>Interest-rate step</t>
  </si>
  <si>
    <t>Net cash flow, Year 1</t>
  </si>
  <si>
    <t>Monthly annuity</t>
  </si>
  <si>
    <t>Property calculator</t>
  </si>
  <si>
    <t>Blue cells are inputs. Results update automatically. Tax figures are simplified model assumptions.</t>
  </si>
  <si>
    <t>Key metrics | At a glance</t>
  </si>
  <si>
    <t>Total investment cost</t>
  </si>
  <si>
    <t>Scenario and exit analysis</t>
  </si>
  <si>
    <t>Holding period (years)</t>
  </si>
  <si>
    <t>Assumed annual appreciation (%)</t>
  </si>
  <si>
    <t>Estimated sale price</t>
  </si>
  <si>
    <t>Remaining balance at the end of the term</t>
  </si>
  <si>
    <t>Investor profit (total)</t>
  </si>
  <si>
    <t>Assumed annual inflation (%)</t>
  </si>
  <si>
    <t>Returns &amp; debt capacity</t>
  </si>
  <si>
    <t>Levered XIRR (p.a., nominal)</t>
  </si>
  <si>
    <t>Purchase-price multiple</t>
  </si>
  <si>
    <t>Average real operating cash flow p.a.</t>
  </si>
  <si>
    <t>Break-even net rent, Year 1 (after tax and vacancy)</t>
  </si>
  <si>
    <t>Cash-on-cash return, Year 1</t>
  </si>
  <si>
    <t>DSCR, Year 1 (NOI / debt service)</t>
  </si>
  <si>
    <t>Section 1: Property data (basics)</t>
  </si>
  <si>
    <t>Total purchase price</t>
  </si>
  <si>
    <t>Living area (m²)</t>
  </si>
  <si>
    <t>Purchase price / m²</t>
  </si>
  <si>
    <t>Lot area (m²)</t>
  </si>
  <si>
    <t>Year built</t>
  </si>
  <si>
    <t>Property type</t>
  </si>
  <si>
    <t>Apartment</t>
  </si>
  <si>
    <t>State</t>
  </si>
  <si>
    <t>Bayern</t>
  </si>
  <si>
    <t>Postcode / location</t>
  </si>
  <si>
    <t>80331 München</t>
  </si>
  <si>
    <t>Section 2: Acquisition costs</t>
  </si>
  <si>
    <t>Property transfer tax (%)</t>
  </si>
  <si>
    <t>Property transfer tax (€)</t>
  </si>
  <si>
    <t>Notary fees (%)</t>
  </si>
  <si>
    <t>Notary fees (€)</t>
  </si>
  <si>
    <t>Land registry fee (%)</t>
  </si>
  <si>
    <t>Land registry fee (€)</t>
  </si>
  <si>
    <t>Broker fee (%)</t>
  </si>
  <si>
    <t>Broker fee (€)</t>
  </si>
  <si>
    <t>Appraisal / valuation</t>
  </si>
  <si>
    <t>Renovation / refurbishment before move-in</t>
  </si>
  <si>
    <t>Other acquisition costs</t>
  </si>
  <si>
    <t>Total acquisition costs (€)</t>
  </si>
  <si>
    <t>Total acquisition costs (%)</t>
  </si>
  <si>
    <t>Total investment costs (purchase price + acquisition costs)</t>
  </si>
  <si>
    <t>Renovation check (Section 6 (1) no. 1a of the German Income Tax Act)</t>
  </si>
  <si>
    <t>Renovation net of tax (for the 15% test)</t>
  </si>
  <si>
    <t>Building cost including the pro-rata acquisition costs</t>
  </si>
  <si>
    <t>Renovation share (net)</t>
  </si>
  <si>
    <t>15% threshold (acquisition-related capitalized costs)</t>
  </si>
  <si>
    <t>Immediate renovation deduction (simplified assumption)</t>
  </si>
  <si>
    <t>Capitalized renovation costs</t>
  </si>
  <si>
    <t>Section 3: Financing</t>
  </si>
  <si>
    <t>Equity share (%)</t>
  </si>
  <si>
    <t>Equity (€)</t>
  </si>
  <si>
    <t>Interest rate (p.a. %)</t>
  </si>
  <si>
    <t>Initial principal repayment (calculated %)</t>
  </si>
  <si>
    <t>Monthly payment (annuity)</t>
  </si>
  <si>
    <t>Annual payment</t>
  </si>
  <si>
    <t>Fixed-rate period (years)</t>
  </si>
  <si>
    <t>Loan term (years)</t>
  </si>
  <si>
    <t>Loan-to-value (LTV %)</t>
  </si>
  <si>
    <t>Refinancing active (0=No, 1=Yes)</t>
  </si>
  <si>
    <t>Refinancing rate p.a. (%)</t>
  </si>
  <si>
    <t>Absolute principal repayment after the fixed-rate period p.a.</t>
  </si>
  <si>
    <t>Section 4: Rental income &amp; return</t>
  </si>
  <si>
    <t>Net rent / m²</t>
  </si>
  <si>
    <t>Total monthly net rent</t>
  </si>
  <si>
    <t>Gross rent incl. utilities</t>
  </si>
  <si>
    <t>Vacancy allowance (%)</t>
  </si>
  <si>
    <t>Vacancy allowance (€)</t>
  </si>
  <si>
    <t>Net rental income p.a.</t>
  </si>
  <si>
    <t>Rent growth (annual increase %)</t>
  </si>
  <si>
    <t>Section 5: Operating costs</t>
  </si>
  <si>
    <t>Property management (monthly)</t>
  </si>
  <si>
    <t>Maintenance reserve p.a.</t>
  </si>
  <si>
    <t>Non-recoverable ancillary costs p.a.</t>
  </si>
  <si>
    <t>Insurance p.a.</t>
  </si>
  <si>
    <t>Property tax p.a.</t>
  </si>
  <si>
    <t>Caretaker p.a.</t>
  </si>
  <si>
    <t>Vacancy costs p.a.</t>
  </si>
  <si>
    <t>Total operating costs p.a.</t>
  </si>
  <si>
    <t>Section 6: Tax &amp; depreciation</t>
  </si>
  <si>
    <t>Building share (%)</t>
  </si>
  <si>
    <t>Building value for depreciation</t>
  </si>
  <si>
    <t>Depreciation rate (%)</t>
  </si>
  <si>
    <t>Annual depreciation</t>
  </si>
  <si>
    <t>Personal marginal tax rate (%)</t>
  </si>
  <si>
    <t>Deductible expenses (other, p.a.)</t>
  </si>
  <si>
    <t>Category</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</si>
  <si>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</si>
  <si>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</si>
  <si>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</si>
  <si>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</si>
  <si>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</si>
  <si>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</si>
  <si>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</si>
  <si>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</si>
  <si>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</si>
  <si>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</si>
  <si>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</si>
  <si>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</si>
  <si>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</si>
  <si>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</si>
  <si>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</si>
  <si>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</si>
  <si>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</si>
  <si>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</si>
  <si>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</si>
  <si>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</si>
  <si>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</si>
  <si>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</si>
  <si>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</si>
  <si>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</si>
  <si>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Year 25</t>
  </si>
  <si>
    <t>Year 26</t>
  </si>
  <si>
    <t>Year 27</t>
  </si>
  <si>
    <t>Year 28</t>
  </si>
  <si>
    <t>Year 29</t>
  </si>
  <si>
    <t>Year 30</t>
  </si>
  <si>
    <t>1. Net rental income p.a.</t>
  </si>
  <si>
    <t>2. Operating costs p.a.</t>
  </si>
  <si>
    <t>3. Interest expense p.a. (monthly schedule)</t>
  </si>
  <si>
    <t>4. Depreciation</t>
  </si>
  <si>
    <t>5. Taxable profit/loss</t>
  </si>
  <si>
    <t>6. Tax effect (+ saving / - cost)</t>
  </si>
  <si>
    <t>7. Interest &amp; principal repayment p.a. (monthly schedule)</t>
  </si>
  <si>
    <t>8. Net cash flow after tax</t>
  </si>
  <si>
    <t>9. Year-end remaining balance (monthly schedule)</t>
  </si>
  <si>
    <t>Scenario analysis | Worst, base, and best case</t>
  </si>
  <si>
    <t>Blue cells are deviations from the base case. Worst and best cases recalculate the annuity, refinancing rate, remaining balance, tax, and exit consistently.</t>
  </si>
  <si>
    <t>1 | Deviations from the base case (%)</t>
  </si>
  <si>
    <t>Variable</t>
  </si>
  <si>
    <t>Worst case</t>
  </si>
  <si>
    <t>Base case</t>
  </si>
  <si>
    <t>Best case</t>
  </si>
  <si>
    <t>Purchase price</t>
  </si>
  <si>
    <t>Interest rate</t>
  </si>
  <si>
    <t>Initial principal repayment</t>
  </si>
  <si>
    <t>Annual rent growth</t>
  </si>
  <si>
    <t>Total operating costs</t>
  </si>
  <si>
    <t>Vacancy allowance</t>
  </si>
  <si>
    <t>Annual appreciation</t>
  </si>
  <si>
    <t>Vacancy costs</t>
  </si>
  <si>
    <t>Maintenance reserve</t>
  </si>
  <si>
    <t>2 | Resulting assumptions (absolute)</t>
  </si>
  <si>
    <t>Refinancing rate after the fixed-rate period</t>
  </si>
  <si>
    <t>3 | Derived model metrics</t>
  </si>
  <si>
    <t>Annual net rent</t>
  </si>
  <si>
    <t>Annual annuity (first fixed-rate phase)</t>
  </si>
  <si>
    <t>Interest expense, Year 1</t>
  </si>
  <si>
    <t>Annual depreciation</t>
  </si>
  <si>
    <t>Tax effect, Year 1</t>
  </si>
  <si>
    <t>Remaining balance after the holding period</t>
  </si>
  <si>
    <t>Refinancing rate (used)</t>
  </si>
  <si>
    <t>4 | Results</t>
  </si>
  <si>
    <t>Return multiple</t>
  </si>
  <si>
    <t>Scenario</t>
  </si>
  <si>
    <t>Break-even net rent, Year 1</t>
  </si>
  <si>
    <t>Estimated sale price</t>
  </si>
  <si>
    <t>5 | Annual cash flows over the holding period</t>
  </si>
  <si>
    <t>Year</t>
  </si>
  <si>
    <t>Worst-case CF</t>
  </si>
  <si>
    <t>Base-case CF</t>
  </si>
  <si>
    <t>Best-case CF</t>
  </si>
  <si>
    <t>Worst-case balance</t>
  </si>
  <si>
    <t>Best-case balance</t>
  </si>
  <si>
    <t>Total CF (holding period)</t>
  </si>
  <si>
    <t>Remaining balance (holding period)</t>
  </si>
  <si>
    <t>Interest-rate sensitivity | Stress test</t>
  </si>
  <si>
    <t>Editable changes in percentage points relative to the base rate on the main sheet. The highlighted column corresponds to the current interest rate.</t>
  </si>
  <si>
    <t>Interest rate-Stufen</t>
  </si>
  <si>
    <t>Interest-rate change (percentage points)</t>
  </si>
  <si>
    <t>Effektiver Interest rate</t>
  </si>
  <si>
    <t>Annual interest expense (Year 1)</t>
  </si>
  <si>
    <t>Net cash flow, Year 1 (after tax)</t>
  </si>
  <si>
    <t>Total interest cost at a constant rate</t>
  </si>
  <si>
    <t>Break-even rent (monthly)</t>
  </si>
  <si>
    <t>Exit analysis | Capital-gains tax and investor profit</t>
  </si>
  <si>
    <t>Blue cells are editable. In the annual model, holding periods of at least 10 years are tax-free. For Section 23 of the German Income Tax Act, the exact notarized dates are decisive.</t>
  </si>
  <si>
    <t>Assumptions (inputs)</t>
  </si>
  <si>
    <t>Planned sale price</t>
  </si>
  <si>
    <t>Selling costs (%)</t>
  </si>
  <si>
    <t>Purchase year</t>
  </si>
  <si>
    <t>Capital gain &amp; speculation tax</t>
  </si>
  <si>
    <t>Tax basis (simplified)</t>
  </si>
  <si>
    <t>Remaining balance at the time of sale</t>
  </si>
  <si>
    <t>Cumulative depreciation until sale</t>
  </si>
  <si>
    <t>Taxable capital gain (Section 23)</t>
  </si>
  <si>
    <t>Holding period &lt; 10 years?</t>
  </si>
  <si>
    <t>Speculation tax</t>
  </si>
  <si>
    <t>Selling costs (€)</t>
  </si>
  <si>
    <t>Total net cash flows (Year 1…exit)</t>
  </si>
  <si>
    <t>− Equity invested</t>
  </si>
  <si>
    <t>Comparison: exit in Year 11 (tax-free in the model)</t>
  </si>
  <si>
    <t>Sale price in Year 11</t>
  </si>
  <si>
    <t>Remaining balance in Year 11</t>
  </si>
  <si>
    <t>Taxable capital gain (Year 11)</t>
  </si>
  <si>
    <t>Speculation tax (Year 11)</t>
  </si>
  <si>
    <t>Selling costs (Year 11)</t>
  </si>
  <si>
    <t>Net exit proceeds (Year 11)</t>
  </si>
  <si>
    <t>Total net cash flows (Year 1…11)</t>
  </si>
  <si>
    <t>Investor profit, Year 11</t>
  </si>
  <si>
    <t>Difference from current exit</t>
  </si>
  <si>
    <t>Note: For Section 23 of the German Income Tax Act, the exact notarized purchase and sale dates matter, not just full model years.</t>
  </si>
  <si>
    <t>Return breakdown | Sources of investor profit</t>
  </si>
  <si>
    <t>Operating cash flow (total operating CF)</t>
  </si>
  <si>
    <t>Principal repayment gain (loan − remaining balance)</t>
  </si>
  <si>
    <t>Appreciation (sale price − purchase price)</t>
  </si>
  <si>
    <t>Selling costs</t>
  </si>
  <si>
    <t>Acquisition costs (other effects)</t>
  </si>
  <si>
    <t>Total (must equal investor profit)</t>
  </si>
  <si>
    <t>Difference from investor profit</t>
  </si>
  <si>
    <t>Equity optimisation</t>
  </si>
  <si>
    <t>debt_service_per_€</t>
  </si>
  <si>
    <t>interest_per_€</t>
  </si>
  <si>
    <t>denom</t>
  </si>
  <si>
    <t>const_EK</t>
  </si>
  <si>
    <t>Mindest-EK €</t>
  </si>
  <si>
    <t>Mindest-EK %</t>
  </si>
  <si>
    <t>nk_satz</t>
  </si>
  <si>
    <t>nk_fix</t>
  </si>
  <si>
    <t>alpha</t>
  </si>
  <si>
    <t>A_const</t>
  </si>
  <si>
    <t>afa_je_€_KP</t>
  </si>
  <si>
    <t>EK-Anteil</t>
  </si>
  <si>
    <t>slope_P</t>
  </si>
  <si>
    <t>intercept_P</t>
  </si>
  <si>
    <t>Max KP CF≥0</t>
  </si>
  <si>
    <t>L_current</t>
  </si>
  <si>
    <t>Maximum interest rate with CF ≥ 0</t>
  </si>
  <si>
    <t>Kreuzung</t>
  </si>
  <si>
    <t>Target XIRR (p.a.)</t>
  </si>
  <si>
    <t>Minimum cash flow, Year 1</t>
  </si>
  <si>
    <t>Maximum LTV (loan / purchase price)</t>
  </si>
  <si>
    <t>Maximum purchase price at target XIRR</t>
  </si>
  <si>
    <t>GI</t>
  </si>
  <si>
    <t>Loan</t>
  </si>
  <si>
    <t>AfA</t>
  </si>
  <si>
    <t>Annuity</t>
  </si>
  <si>
    <t>CF0</t>
  </si>
  <si>
    <t>CF1</t>
  </si>
  <si>
    <t>CF2</t>
  </si>
  <si>
    <t>CF3</t>
  </si>
  <si>
    <t>CF4</t>
  </si>
  <si>
    <t>CF5</t>
  </si>
  <si>
    <t>CF6</t>
  </si>
  <si>
    <t>CF7</t>
  </si>
  <si>
    <t>CF8</t>
  </si>
  <si>
    <t>CF9</t>
  </si>
  <si>
    <t>CF10</t>
  </si>
  <si>
    <t>XIRR</t>
  </si>
  <si>
    <t>OK</t>
  </si>
  <si>
    <t>P*</t>
  </si>
  <si>
    <t>Real-value analysis | Inflation-adjusted discounting</t>
  </si>
  <si>
    <t>All 30-year values are discounted to today's purchasing-power value.</t>
  </si>
  <si>
    <t>Inflation rate p.a.</t>
  </si>
  <si>
    <t>Inflation-adjusted 30-year view</t>
  </si>
  <si>
    <t>Nominal net cash flow</t>
  </si>
  <si>
    <t>Discount factor</t>
  </si>
  <si>
    <t>Real net cash flow</t>
  </si>
  <si>
    <t>Nominal rental income</t>
  </si>
  <si>
    <t>Real rental income</t>
  </si>
  <si>
    <t>Nominal remaining balance</t>
  </si>
  <si>
    <t>Real remaining balance</t>
  </si>
  <si>
    <t>Cumulative real net cash flow</t>
  </si>
  <si>
    <t>Cumulative nominal net cash flow</t>
  </si>
  <si>
    <t>Summary</t>
  </si>
  <si>
    <t>Total nominal cash flow (holding period)</t>
  </si>
  <si>
    <t>Total real cash flow (holding period)</t>
  </si>
  <si>
    <t>Inflation effect (real minus nominal)</t>
  </si>
  <si>
    <t>Relative inflation effect</t>
  </si>
  <si>
    <t>Real IRR (p.a., incl. exit)</t>
  </si>
  <si>
    <t>Operating break-even (real)</t>
  </si>
  <si>
    <t>Operating break-even (nominal)</t>
  </si>
  <si>
    <t>A positive inflation effect means a lower real burden. The operating break-even deliberately excludes the exit proceeds.</t>
  </si>
  <si>
    <t>Amortization schedule (monthly)</t>
  </si>
  <si>
    <t>Term is controlled by Property Calculator B70 (years). Up to 50 years / 600 months are provided. Months after the loan ends equal 0. Column H is an optional extra repayment (blue). Fixed-rate period = B69 | refinancing active = B72.</t>
  </si>
  <si>
    <t>Month</t>
  </si>
  <si>
    <t>Interest rate p.a.</t>
  </si>
  <si>
    <t>Remaining balance before payment</t>
  </si>
  <si>
    <t>Rate monthly</t>
  </si>
  <si>
    <t>Monthly interest</t>
  </si>
  <si>
    <t>Monthly principal repayment</t>
  </si>
  <si>
    <t>Sondertilgung monthly</t>
  </si>
  <si>
    <t>Remaining balance after payment</t>
  </si>
  <si>
    <t>Sondertilgung wirksam</t>
  </si>
  <si>
    <t>Interest rate p.a.</t>
  </si>
  <si>
    <t>Rate p.a.</t>
  </si>
  <si>
    <t>Principal repayment p.a.</t>
  </si>
  <si>
    <t>Sondertilgung p.a.</t>
  </si>
  <si>
    <t>Year-end balance</t>
  </si>
  <si>
    <t>Active? (Year ≤ term)</t>
  </si>
  <si>
    <t>Return details | Levered IRR, XIRR &amp; equity multiple</t>
  </si>
  <si>
    <t>Year 0 is the equity investment. In the sale year, operating cash flow and net exit proceeds are combined. XIRR uses annual model dates starting in the purchase year.</t>
  </si>
  <si>
    <t>Operating CF, worst case</t>
  </si>
  <si>
    <t>Net exit, worst case</t>
  </si>
  <si>
    <t>Investor CF, worst case</t>
  </si>
  <si>
    <t>Operating CF, base case</t>
  </si>
  <si>
    <t>Net exit, base case</t>
  </si>
  <si>
    <t>Investor CF, base case</t>
  </si>
  <si>
    <t>Operating CF, best case</t>
  </si>
  <si>
    <t>Net exit, best case</t>
  </si>
  <si>
    <t>Investor CF, best case</t>
  </si>
  <si>
    <t>Cash flow date</t>
  </si>
  <si>
    <t>Unlevered CF</t>
  </si>
  <si>
    <t>Investor return | Worst, base, and best</t>
  </si>
  <si>
    <t>Interpretation</t>
  </si>
  <si>
    <t>IRR uses equal annual periods; XIRR uses the model's actual dates starting in the purchase year.</t>
  </si>
  <si>
    <t>Levered IRR (periodic)</t>
  </si>
  <si>
    <t>Levered XIRR (date-based)</t>
  </si>
  <si>
    <t>Equity multiple = sum of all positive cash returns ÷ sum of all negative investor cash flows.</t>
  </si>
  <si>
    <t>Net increase in capital</t>
  </si>
  <si>
    <t>1.00x means the nominal capital is returned. The time value of money is reflected only in IRR/XIRR.</t>
  </si>
  <si>
    <t>NPV vs. alternative return</t>
  </si>
  <si>
    <t>Model notes | Corrected logic, limitations, and sources</t>
  </si>
  <si>
    <t>This file is a calculation model and is not a substitute for tax, legal, financing, or investment advice.</t>
  </si>
  <si>
    <t>Topic</t>
  </si>
  <si>
    <t>Correction / model logic</t>
  </si>
  <si>
    <t>Impact</t>
  </si>
  <si>
    <t>Investor return</t>
  </si>
  <si>
    <t>Levered IRR and date-accurate XIRR based on equity invested, operating cash flows, and net exit proceeds; equity multiple based on positive returns relative to all equity contributions.</t>
  </si>
  <si>
    <t>Return level, timing, and cash-return factor are shown separately.</t>
  </si>
  <si>
    <t>Debt metric</t>
  </si>
  <si>
    <t>The uninformative debt CAGR is replaced by Year 1 DSCR.</t>
  </si>
  <si>
    <t>Debt-service capacity is made visible.</t>
  </si>
  <si>
    <t>Scenarios</t>
  </si>
  <si>
    <t>Initial principal repayment, annuity, refinancing rate, and remaining balance now work consistently together.</t>
  </si>
  <si>
    <t>Worst, base, and best cases are mechanically comparable.</t>
  </si>
  <si>
    <t>15% threshold</t>
  </si>
  <si>
    <t>Checks renovation net of tax and building cost including the pro-rata acquisition costs.</t>
  </si>
  <si>
    <t>The threshold and depreciation base are calculated more appropriately.</t>
  </si>
  <si>
    <t>Maintenance reserve</t>
  </si>
  <si>
    <t>The cash outflow remains included; for tax purposes, the contribution is not deducted immediately as an income-related expense.</t>
  </si>
  <si>
    <t>The tax benefit is not brought forward.</t>
  </si>
  <si>
    <t>Section 23 of the German Income Tax Act</t>
  </si>
  <si>
    <t>A holding period of less than 10 years is treated as taxable; from 10 years onward, the exit is tax-free in the annual model.</t>
  </si>
  <si>
    <t>Exit tax and investor profit respond consistently to the holding period.</t>
  </si>
  <si>
    <t>Break-even</t>
  </si>
  <si>
    <t>A cumulative cash flow that is positive only temporarily is no longer incorrectly reported as operating break-even.</t>
  </si>
  <si>
    <t>No operating break-even is shown if cash flow is permanently negative later on.</t>
  </si>
  <si>
    <t>Key model limitation</t>
  </si>
  <si>
    <t>What the model assumes</t>
  </si>
  <si>
    <t>What to review separately</t>
  </si>
  <si>
    <t>Tax losses</t>
  </si>
  <si>
    <t>Tax losses are applied immediately at the marginal tax rate.</t>
  </si>
  <si>
    <t>Whether and when losses can actually be offset.</t>
  </si>
  <si>
    <t>Section 23 holding-period rule</t>
  </si>
  <si>
    <t>A full-year holding period is used as an approximation.</t>
  </si>
  <si>
    <t>Exact notarized dates and owner-occupancy exceptions.</t>
  </si>
  <si>
    <t>Refinancing</t>
  </si>
  <si>
    <t>The base case follows the amortization schedule; scenarios use the refinancing rate set for each scenario.</t>
  </si>
  <si>
    <t>Bank offer, remaining term, fees, and loan-to-value.</t>
  </si>
  <si>
    <t>Renovation</t>
  </si>
  <si>
    <t>Below the 15% threshold, an immediate deduction is assumed for simplicity.</t>
  </si>
  <si>
    <t>Maintenance expense versus capitalised improvements and the three-year period.</t>
  </si>
  <si>
    <t>Price appreciation</t>
  </si>
  <si>
    <t>Constant annual appreciation and constant selling costs.</t>
  </si>
  <si>
    <t>Local market, sale horizon, liquidity, and CapEx.</t>
  </si>
  <si>
    <t>Rent &amp; costs</t>
  </si>
  <si>
    <t>Constant growth rates; no rent-control or modernisation limits.</t>
  </si>
  <si>
    <t>Local rent index, indexation, and unplanned major repairs.</t>
  </si>
  <si>
    <t>Traffic-light thresholds (editable)</t>
  </si>
  <si>
    <t>CF Year 1 green from (€)</t>
  </si>
  <si>
    <t>CF Year 1 yellow from (€)</t>
  </si>
  <si>
    <t>DSCR green from</t>
  </si>
  <si>
    <t>DSCR yellow from</t>
  </si>
  <si>
    <t>XIRR / cash-on-cash green from</t>
  </si>
  <si>
    <t>XIRR / cash-on-cash yellow from</t>
  </si>
  <si>
    <t>const_nachhaltig</t>
  </si>
  <si>
    <t>Mindest-EK nachhaltig €</t>
  </si>
  <si>
    <t>Mindest-EK nachhaltig %</t>
  </si>
  <si>
    <t>Answer to: How much equity does the deal need for CF ≥ 0? Year 1 includes the one-off renovation deduction; sustainable excludes this one-off effect. Blue = input (target XIRR block). Grey = calculation.</t>
  </si>
  <si>
    <t>1 | Current state (equity from the calculator, not an input)</t>
  </si>
  <si>
    <t>Actual equity (calculator)</t>
  </si>
  <si>
    <t>Actual equity share of total investment</t>
  </si>
  <si>
    <t>Actual loan</t>
  </si>
  <si>
    <t>Actual LTV (loan / purchase price)</t>
  </si>
  <si>
    <t>Actual cash flow, Year 1</t>
  </si>
  <si>
    <t>2 | Automatic answer | Minimum equity</t>
  </si>
  <si>
    <t>Minimum equity for CF Year 1 ≥ 0 (€)</t>
  </si>
  <si>
    <t>Minimum equity, Year 1 / total investment</t>
  </si>
  <si>
    <t>The Year 1 limit includes the one-off renovation deduction. This effect disappears from Year 2 onward, which is why the sustainable limit below is lower.</t>
  </si>
  <si>
    <t>Minimum equity for sustainable CF ≥ 0 (€)</t>
  </si>
  <si>
    <t>Nachhaltiges Mindest-EK / Total investment</t>
  </si>
  <si>
    <t>Sustainable means the same financing mechanics as Year 1, but without the recurring immediate deduction under the Year 2 tax logic. This is the liquidity limit after the one-off effect.</t>
  </si>
  <si>
    <t>3 | Additional break-even solvers (cash flow ≥ 0)</t>
  </si>
  <si>
    <t>Minimum net rent per month (Year 1)</t>
  </si>
  <si>
    <t>Maximum purchase price for CF Year 1 ≥ 0</t>
  </si>
  <si>
    <t>Maximum affordable interest rate (CF Year 1 ≥ 0)</t>
  </si>
  <si>
    <t>4 | Comparison | Equity share 10%–50% (same property and interest assumptions)</t>
  </si>
  <si>
    <t>CF Year 1</t>
  </si>
  <si>
    <t>Positive cash flow is not automatically the highest total return. The 10–50% table compares liquidity (CF, DSCR, LTV); the sustainable minimum equity shown above is the more relevant lower bound.</t>
  </si>
  <si>
    <t>5 | Maximum purchase price at target XIRR (live 200–500k grid)</t>
  </si>
  <si>
    <t>HOA analysis | Service charges, reserve, special assessment</t>
  </si>
  <si>
    <t>Blue = input. Non-recoverable HOA charges increase operating costs. Special assessments (× ownership share) reduce net cash flow only in the selected year. Recoverable charges are paid by the tenant and are not included in owner cash flow.</t>
  </si>
  <si>
    <t>1 | Service charges</t>
  </si>
  <si>
    <t>Recoverable service charges (monthly)</t>
  </si>
  <si>
    <t>Non-recoverable service charges (monthly)</t>
  </si>
  <si>
    <t>Total service charges (monthly)</t>
  </si>
  <si>
    <t>Non-recoverable p.a. (in operating costs)</t>
  </si>
  <si>
    <t>2 | HOA reserves and ownership share</t>
  </si>
  <si>
    <t>Current reserve balance (total HOA)</t>
  </si>
  <si>
    <t>Annual reserve for this property (calculator)</t>
  </si>
  <si>
    <t>Reserve balance per m² (HOA / area)</t>
  </si>
  <si>
    <t>Ownership share</t>
  </si>
  <si>
    <t>Pro-rata reserve balance</t>
  </si>
  <si>
    <t>3 | Planned measures (total HOA, for context)</t>
  </si>
  <si>
    <t>Measure</t>
  </si>
  <si>
    <t>Expected cost</t>
  </si>
  <si>
    <t>Roof</t>
  </si>
  <si>
    <t>Facade</t>
  </si>
  <si>
    <t>Heating</t>
  </si>
  <si>
    <t>Elevator</t>
  </si>
  <si>
    <t>Underground parking</t>
  </si>
  <si>
    <t>Total planned measures (HOA)</t>
  </si>
  <si>
    <t>This property (× ownership share)</t>
  </si>
  <si>
    <t>4 | Expected special assessment</t>
  </si>
  <si>
    <t>Total HOA special assessment</t>
  </si>
  <si>
    <t>Year of special assessment</t>
  </si>
  <si>
    <t>Special assessment for this property (× ownership share)</t>
  </si>
  <si>
    <t>Effect: non-recoverable service charges flow into operating costs in every year. The special assessment is deducted from net cash flow only in the selected year.</t>
  </si>
  <si>
    <t>HOA: see the HOA sheet for non-recoverable service charges and the special assessment (included in operating costs / CF).</t>
  </si>
  <si>
    <t>CapEx / renovation plan | Cash vs. capitalization</t>
  </si>
  <si>
    <t>Blue = input. Each project creates its full cash outflow in the selected year. Cash means maintenance expense with an immediate tax deduction. Capitalized means capital expenditure depreciated from that year at the rate from the calculator. HOA special assessments remain on the HOA sheet. This sheet covers projects inside the property only.</t>
  </si>
  <si>
    <t>1 | Measures for this property</t>
  </si>
  <si>
    <t>Amount</t>
  </si>
  <si>
    <t>Type (cash / capitalized)</t>
  </si>
  <si>
    <t>Bathroom renovation</t>
  </si>
  <si>
    <t>Cash</t>
  </si>
  <si>
    <t>Fenster</t>
  </si>
  <si>
    <t>Capitalized</t>
  </si>
  <si>
    <t>Heating (Apartment)</t>
  </si>
  <si>
    <t>Electrical</t>
  </si>
  <si>
    <t>Flooring</t>
  </si>
  <si>
    <t>Kitchen</t>
  </si>
  <si>
    <t>Other 1</t>
  </si>
  <si>
    <t>Other 2</t>
  </si>
  <si>
    <t>2 | Totals</t>
  </si>
  <si>
    <t>Total cash measures</t>
  </si>
  <si>
    <t>Total capitalised measures</t>
  </si>
  <si>
    <t>Depreciation rate (calculator)</t>
  </si>
  <si>
    <t>Additional depreciation p.a. (all capitalized projects, info)</t>
  </si>
  <si>
    <t>3 | Annual impact (live in the calculator)</t>
  </si>
  <si>
    <t>Cash outflow</t>
  </si>
  <si>
    <t>Immediate deduction (cash)</t>
  </si>
  <si>
    <t>Additional depreciation (capitalized)</t>
  </si>
  <si>
    <t>Effect: cash outflow reduces net cash flow in the selected year. The immediate deduction reduces taxable income only in that year. Additional depreciation increases depreciation from the capitalization year onward (row 108).</t>
  </si>
  <si>
    <t>CapEx: see the CapEx sheet for the renovation plan (cash / capitalised), with the outflow in CF and depreciation/immediate deduction in tax.</t>
  </si>
  <si>
    <t>5 | Exit method (sale price)</t>
  </si>
  <si>
    <t>Method (1=appreciation, 2=cap rate, 3=rent multiple)</t>
  </si>
  <si>
    <t>Exit cap rate</t>
  </si>
  <si>
    <t>Exit rent multiple</t>
  </si>
  <si>
    <t>Net rent in exit year (p.a.)</t>
  </si>
  <si>
    <t>NOI in exit year</t>
  </si>
  <si>
    <t>Sale price under selected method</t>
  </si>
  <si>
    <t>Comparison | Appreciation</t>
  </si>
  <si>
    <t>Comparison | Income value (NOI / cap rate)</t>
  </si>
  <si>
    <t>Comparison | Rent multiple (rent × factor)</t>
  </si>
  <si>
    <t>Method 1 is the default, as before. Method 2 uses NOI in the exit year divided by the exit cap rate. Method 3 uses net rent in the exit year multiplied by the rent multiple. The selected price flows into Property Calculator B13.</t>
  </si>
  <si>
    <t>Sensitivity | Levered XIRR in two-way matrices</t>
  </si>
  <si>
    <t>Blue axes are inputs. The values come from Excel data tables on the live model, using the same sheet inputs as the calculator. Green marks the current base case. The refinancing rate applies only when Property Calculator B72 = 1.</t>
  </si>
  <si>
    <t>1 | Levered XIRR — purchase price × interest rate</t>
  </si>
  <si>
    <t>Purchase price ↓ | interest rate →</t>
  </si>
  <si>
    <t>2 | Levered XIRR — purchase price × net rent/m²</t>
  </si>
  <si>
    <t>Purchase price ↓ | €/m² →</t>
  </si>
  <si>
    <t>3 | Levered XIRR — exit appreciation × refinancing rate</t>
  </si>
  <si>
    <t>Appreciation ↓ | refinancing rate →</t>
  </si>
  <si>
    <t>Engine: hidden data tables to the right of the calculator (same input cells). The calculator itself does not change when the matrices are calculated.</t>
  </si>
  <si>
    <t>Market rent / m² (comparison, dashboard)</t>
  </si>
  <si>
    <t>Dashboard | Decision page</t>
  </si>
  <si>
    <t>DEAL</t>
  </si>
  <si>
    <t>Living area</t>
  </si>
  <si>
    <t>€ / m²</t>
  </si>
  <si>
    <t>Holding period</t>
  </si>
  <si>
    <t>Exit-Method</t>
  </si>
  <si>
    <t>HOA-ownership share</t>
  </si>
  <si>
    <t>CapEx Cash Σ</t>
  </si>
  <si>
    <t>Operating</t>
  </si>
  <si>
    <t>Actual net rent / m²</t>
  </si>
  <si>
    <t>Marktmiete / m²</t>
  </si>
  <si>
    <t>Delta / m²</t>
  </si>
  <si>
    <t>Actual monthly</t>
  </si>
  <si>
    <t>Markt monthly</t>
  </si>
  <si>
    <t>Actual multiple</t>
  </si>
  <si>
    <t>Factor Markt</t>
  </si>
  <si>
    <t>Financing</t>
  </si>
  <si>
    <t>Equity</t>
  </si>
  <si>
    <t>Remaining balance, holding period</t>
  </si>
  <si>
    <t>Anschluss aktiv</t>
  </si>
  <si>
    <t>Refinancing rate</t>
  </si>
  <si>
    <t>Investor Return</t>
  </si>
  <si>
    <t>XIRR unlevered</t>
  </si>
  <si>
    <t>Exit</t>
  </si>
  <si>
    <t>Sale price</t>
  </si>
  <si>
    <t>Net proceeds</t>
  </si>
  <si>
    <t>Investor Profit</t>
  </si>
  <si>
    <t>Σ oper. CF</t>
  </si>
  <si>
    <t>Principal repayment gain</t>
  </si>
  <si>
    <t>Appreciation</t>
  </si>
  <si>
    <t>Income value (cap rate)</t>
  </si>
  <si>
    <t>Decision | Break-even levels and limits</t>
  </si>
  <si>
    <t>Break-even net rent, Year 1</t>
  </si>
  <si>
    <t>Min-EK CF≥0</t>
  </si>
  <si>
    <t>HOA-Special assessment</t>
  </si>
  <si>
    <t>Non-recoverable HOA charges p.a.</t>
  </si>
  <si>
    <t>Taxes are modelled in simplified form. Review Section 23, renovation treatment, and the actual use of losses separately. HOA charges and CapEx flow through to cash flow and XIRR.</t>
  </si>
  <si>
    <t>One-page pre-purchase view: operating performance, financing, return, exit, and decision metrics. Market rent is in Property Calculator B84 (blue). See Model Notes for the traffic-light thresholds.</t>
  </si>
  <si>
    <t>Charts | Cash flow, real value, remaining balance</t>
  </si>
  <si>
    <t>Rent</t>
  </si>
  <si>
    <t>Borrowing</t>
  </si>
  <si>
    <t>Return</t>
  </si>
  <si>
    <t>Grenzen</t>
  </si>
  <si>
    <t>Actual XIRR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</si>
</sst>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0\ &quot;€&quot;;[Red]\-#,##0\ &quot;€&quot;"/>
    <numFmt numFmtId="164" formatCode="0.00\x"/>
    <numFmt numFmtId="165" formatCode="0.0%"/>
    <numFmt numFmtId="166" formatCode="0.00\x;[Red]\-0.00\x;\–"/>
    <numFmt numFmtId="167" formatCode="#,##0.00&quot; €&quot;"/>
    <numFmt numFmtId="168" formatCode="#,##0&quot; €&quot;"/>
    <numFmt numFmtId="169" formatCode="#,##0.0\x"/>
    <numFmt numFmtId="170" formatCode="#,##0.0"/>
    <numFmt numFmtId="171" formatCode="#,##0\ &quot;€&quot;"/>
    <numFmt numFmtId="172" formatCode="#,##0.00\ [$€-407];[Red]\-#,##0.00\ [$€-407]"/>
    <numFmt numFmtId="173" formatCode="#,##0\ &quot;€&quot;;[Red]\-#,##0\ &quot;€&quot;;\–"/>
    <numFmt numFmtId="174" formatCode="#,##0.00\ &quot;€&quot;"/>
    <numFmt numFmtId="175" formatCode="0.000000"/>
    <numFmt numFmtId="176" formatCode="0.000"/>
    <numFmt numFmtId="177" formatCode=";;;"/>
    <numFmt numFmtId="178" formatCode="0.00%;[Red]\-0.00%;\–"/>
    <numFmt numFmtId="179" formatCode="#,000%"/>
    <numFmt numFmtId="180" formatCode="#,000"/>
  </numFmts>
  <fonts count="51" x14ac:knownFonts="1">
    <font>
      <sz val="11"/>
      <color theme="1"/>
      <name val="Calibri"/>
    </font>
    <font>
      <b/>
      <sz val="16"/>
      <color rgb="FFFFFFFF"/>
      <name val="Arial"/>
      <family val="2"/>
    </font>
    <font>
      <sz val="11"/>
      <color rgb="FF3B3B3B"/>
      <name val="Calibri"/>
      <family val="2"/>
    </font>
    <font>
      <b/>
      <sz val="12"/>
      <color rgb="FF1F4E78"/>
      <name val="Arial"/>
      <family val="2"/>
    </font>
    <font>
      <b/>
      <sz val="10"/>
      <color rgb="FFFFFFFF"/>
      <name val="Arial"/>
      <family val="2"/>
    </font>
    <font>
      <b/>
      <sz val="9"/>
      <color rgb="FFFFFFFF"/>
      <name val="Arial"/>
      <family val="2"/>
    </font>
    <font>
      <b/>
      <sz val="10"/>
      <color rgb="FF000000"/>
      <name val="Arial"/>
      <family val="2"/>
    </font>
    <font>
      <sz val="10"/>
      <color rgb="FF008000"/>
      <name val="Arial"/>
      <family val="2"/>
    </font>
    <font>
      <sz val="10"/>
      <color rgb="FF000000"/>
      <name val="Arial"/>
      <family val="2"/>
    </font>
    <font>
      <b/>
      <sz val="12"/>
      <color rgb="FF000000"/>
      <name val="Arial"/>
      <family val="2"/>
    </font>
    <font>
      <b/>
      <sz val="12"/>
      <color rgb="FF008000"/>
      <name val="Arial"/>
      <family val="2"/>
    </font>
    <font>
      <i/>
      <sz val="8"/>
      <color rgb="FF808080"/>
      <name val="Arial"/>
      <family val="2"/>
    </font>
    <font>
      <b/>
      <sz val="11"/>
      <color rgb="FFFFFFFF"/>
      <name val="Arial"/>
      <family val="2"/>
    </font>
    <font>
      <b/>
      <sz val="11"/>
      <name val="Calibri"/>
      <family val="2"/>
    </font>
    <font>
      <sz val="10"/>
      <color theme="1"/>
      <name val="Arial"/>
      <family val="2"/>
    </font>
    <font>
      <b/>
      <sz val="10"/>
      <color rgb="FFFFFFFF"/>
      <name val="Calibri"/>
      <family val="2"/>
    </font>
    <font>
      <i/>
      <sz val="9"/>
      <color rgb="FF666666"/>
      <name val="Calibri"/>
      <family val="2"/>
    </font>
    <font>
      <i/>
      <sz val="8"/>
      <color rgb="FF666666"/>
      <name val="Calibri"/>
      <family val="2"/>
    </font>
    <font>
      <b/>
      <sz val="12"/>
      <color rgb="FF1F4E78"/>
      <name val="Calibri"/>
      <family val="2"/>
    </font>
    <font>
      <b/>
      <sz val="11"/>
      <color rgb="FFFFFFFF"/>
      <name val="Calibri"/>
      <family val="2"/>
    </font>
    <font>
      <b/>
      <sz val="11"/>
      <color rgb="FF1F4E78"/>
      <name val="Calibri"/>
      <family val="2"/>
    </font>
    <font>
      <b/>
      <sz val="11"/>
      <color rgb="FFFFFFFF"/>
      <name val="Calibri"/>
      <family val="2"/>
    </font>
    <font>
      <sz val="11"/>
      <color theme="0"/>
      <name val="Calibri"/>
      <family val="2"/>
    </font>
    <font>
      <b/>
      <sz val="16"/>
      <color rgb="FFFFFFFF"/>
      <name val="Calibri"/>
      <family val="2"/>
    </font>
    <font>
      <i/>
      <sz val="11"/>
      <color rgb="FF1F2937"/>
      <name val="Calibri"/>
      <family val="2"/>
    </font>
    <font>
      <b/>
      <i/>
      <sz val="10"/>
      <color rgb="FF1F2937"/>
      <name val="Arial"/>
      <family val="2"/>
    </font>
    <font>
      <sz val="10"/>
      <color rgb="FF303030"/>
      <name val="Calibri"/>
      <family val="2"/>
    </font>
    <font>
      <sz val="1"/>
      <color rgb="FFFFFFFF"/>
      <name val="Calibri"/>
      <family val="2"/>
    </font>
    <font>
      <b/>
      <sz val="11"/>
      <color rgb="FF303030"/>
      <name val="Calibri"/>
      <family val="2"/>
    </font>
    <font>
      <sz val="11"/>
      <color rgb="FF000000"/>
      <name val="Calibri"/>
      <family val="2"/>
    </font>
    <font>
      <i/>
      <sz val="10"/>
      <color rgb="FF7F6000"/>
      <name val="Calibri"/>
      <family val="2"/>
    </font>
    <font>
      <b/>
      <sz val="12"/>
      <color rgb="FF006100"/>
      <name val="Calibri"/>
      <family val="2"/>
    </font>
    <font>
      <b/>
      <sz val="11"/>
      <color rgb="FF000000"/>
      <name val="Calibri"/>
      <family val="2"/>
    </font>
    <font>
      <b/>
      <sz val="8"/>
      <color rgb="FFFFFFFF"/>
      <name val="Arial"/>
      <family val="2"/>
    </font>
    <font>
      <b/>
      <sz val="10"/>
      <color rgb="FF000000"/>
      <name val="Arial"/>
      <family val="2"/>
    </font>
    <font>
      <b/>
      <sz val="12"/>
      <color rgb="FF1F4E78"/>
      <name val="Arial"/>
      <family val="2"/>
    </font>
    <font>
      <sz val="10"/>
      <name val="Arial"/>
      <family val="2"/>
    </font>
    <font>
      <b/>
      <sz val="10"/>
      <name val="Arial"/>
      <family val="2"/>
    </font>
    <font>
      <sz val="10"/>
      <color rgb="FF000000"/>
      <name val="Arial"/>
      <family val="2"/>
    </font>
    <font>
      <b/>
      <sz val="10"/>
      <color rgb="FF000000"/>
      <name val="Arial"/>
      <family val="2"/>
    </font>
    <font>
      <b/>
      <sz val="12"/>
      <color rgb="FF000000"/>
      <name val="Arial"/>
      <family val="2"/>
    </font>
    <font>
      <sz val="11"/>
      <color theme="1"/>
      <name val="Calibri"/>
      <family val="2"/>
    </font>
    <font>
      <i/>
      <sz val="10"/>
      <color rgb="FF3B3B3B"/>
      <name val="Calibri"/>
      <family val="2"/>
    </font>
    <font>
      <sz val="11"/>
      <color theme="1"/>
      <name val="Arial"/>
      <family val="2"/>
    </font>
    <font>
      <b/>
      <sz val="10"/>
      <color theme="1"/>
      <name val="Arial"/>
      <family val="2"/>
    </font>
    <font>
      <i/>
      <sz val="10"/>
      <color theme="1"/>
      <name val="Calibri"/>
      <family val="2"/>
    </font>
    <font>
      <i/>
      <sz val="9"/>
      <color rgb="FF3B3B3B"/>
      <name val="Calibri"/>
      <family val="2"/>
    </font>
    <font>
      <sz val="9"/>
      <color rgb="FF3B3B3B"/>
      <name val="Arial"/>
      <family val="2"/>
    </font>
    <font>
      <sz val="10"/>
      <color rgb="FF3B3B3B"/>
      <name val="Calibri"/>
      <family val="2"/>
    </font>
    <font>
      <b/>
      <sz val="11"/>
      <color rgb="FF000000"/>
      <name val="Arial"/>
      <family val="2"/>
    </font>
    <font>
      <sz val="9"/>
      <color rgb="FF000000"/>
      <name val="Arial"/>
      <family val="2"/>
    </font>
  </fonts>
  <fills count="33">
    <fill>
      <patternFill patternType="none"/>
    </fill>
    <fill>
      <patternFill patternType="gray125"/>
    </fill>
    <fill>
      <patternFill patternType="solid">
        <fgColor rgb="FF1F4E78"/>
      </patternFill>
    </fill>
    <fill>
      <patternFill patternType="solid">
        <fgColor rgb="FFB4C7DC"/>
      </patternFill>
    </fill>
    <fill>
      <patternFill patternType="solid">
        <fgColor rgb="FF729FCF"/>
      </patternFill>
    </fill>
    <fill>
      <patternFill patternType="solid">
        <fgColor rgb="FFF2F4F7"/>
      </patternFill>
    </fill>
    <fill>
      <patternFill patternType="solid">
        <fgColor rgb="FFE2EFDA"/>
      </patternFill>
    </fill>
    <fill>
      <patternFill patternType="solid">
        <fgColor theme="0"/>
      </patternFill>
    </fill>
    <fill>
      <patternFill patternType="solid">
        <fgColor rgb="FFB4C7DC"/>
      </patternFill>
    </fill>
    <fill>
      <patternFill patternType="solid">
        <fgColor rgb="FF1F4E78"/>
      </patternFill>
    </fill>
    <fill>
      <patternFill patternType="solid">
        <fgColor rgb="FFBDD7EE"/>
      </patternFill>
    </fill>
    <fill>
      <patternFill patternType="solid">
        <fgColor theme="4" tint="-0.249977111117893"/>
        <bgColor indexed="65"/>
      </patternFill>
    </fill>
    <fill>
      <patternFill patternType="solid">
        <fgColor rgb="FF1F4E78"/>
      </patternFill>
    </fill>
    <fill>
      <patternFill patternType="solid">
        <fgColor rgb="FFFFF2CC"/>
      </patternFill>
    </fill>
    <fill>
      <patternFill patternType="solid">
        <fgColor rgb="FF1F4E78"/>
      </patternFill>
    </fill>
    <fill>
      <patternFill patternType="solid">
        <fgColor rgb="FFD9E5F2"/>
      </patternFill>
    </fill>
    <fill>
      <patternFill patternType="solid">
        <fgColor rgb="FFFFFFFF"/>
      </patternFill>
    </fill>
    <fill>
      <patternFill patternType="solid">
        <fgColor rgb="FF7EA6D1"/>
      </patternFill>
    </fill>
    <fill>
      <patternFill patternType="solid">
        <fgColor rgb="FFEAF0F6"/>
      </patternFill>
    </fill>
    <fill>
      <patternFill patternType="solid">
        <fgColor rgb="FFF4F7FA"/>
      </patternFill>
    </fill>
    <fill>
      <patternFill patternType="solid">
        <fgColor rgb="FFFFF2CC"/>
      </patternFill>
    </fill>
    <fill>
      <patternFill patternType="solid">
        <fgColor rgb="FF729FCF"/>
      </patternFill>
    </fill>
    <fill>
      <patternFill patternType="solid">
        <fgColor rgb="FF1F4E78"/>
      </patternFill>
    </fill>
    <fill>
      <patternFill patternType="solid">
        <fgColor rgb="FFB4C7DC"/>
      </patternFill>
    </fill>
    <fill>
      <patternFill patternType="solid">
        <fgColor rgb="FF729FCF"/>
      </patternFill>
    </fill>
    <fill>
      <patternFill patternType="solid">
        <fgColor rgb="FFB4C7DC"/>
      </patternFill>
    </fill>
    <fill>
      <patternFill patternType="solid">
        <fgColor rgb="FF1F4E78"/>
        <bgColor indexed="64"/>
      </patternFill>
    </fill>
    <fill>
      <patternFill patternType="solid">
        <fgColor rgb="FFB4C7DC"/>
        <bgColor indexed="64"/>
      </patternFill>
    </fill>
    <fill>
      <patternFill patternType="solid">
        <fgColor rgb="FF729FCF"/>
        <bgColor indexed="64"/>
      </patternFill>
    </fill>
    <fill>
      <patternFill patternType="solid">
        <fgColor rgb="FFF2F4F7"/>
        <bgColor indexed="64"/>
      </patternFill>
    </fill>
    <fill>
      <patternFill patternType="solid">
        <fgColor rgb="FFE2EFDA"/>
        <bgColor indexed="64"/>
      </patternFill>
    </fill>
    <fill>
      <patternFill patternType="solid">
        <fgColor rgb="FFFFF2CC"/>
        <bgColor indexed="64"/>
      </patternFill>
    </fill>
    <fill>
      <patternFill patternType="solid">
        <fgColor rgb="FFFFFFFF"/>
        <bgColor indexed="64"/>
      </patternFill>
    </fill>
  </fills>
  <borders count="34">
    <border>
      <left/>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bottom style="thin">
        <color rgb="FFD9D9D9"/>
      </bottom>
      <diagonal/>
    </border>
    <border>
      <left style="thin">
        <color rgb="FFC9D3DF"/>
      </left>
      <right style="thin">
        <color rgb="FFC9D3DF"/>
      </right>
      <top style="thin">
        <color rgb="FFC9D3DF"/>
      </top>
      <bottom style="thin">
        <color rgb="FFC9D3DF"/>
      </bottom>
      <diagonal/>
    </border>
    <border>
      <left style="thin">
        <color rgb="FFE6B800"/>
      </left>
      <right/>
      <top style="thin">
        <color rgb="FFE6B800"/>
      </top>
      <bottom style="thin">
        <color rgb="FFE6B800"/>
      </bottom>
      <diagonal/>
    </border>
    <border>
      <left/>
      <right/>
      <top style="thin">
        <color rgb="FFE6B800"/>
      </top>
      <bottom style="thin">
        <color rgb="FFE6B800"/>
      </bottom>
      <diagonal/>
    </border>
    <border>
      <left/>
      <right style="thin">
        <color rgb="FFE6B800"/>
      </right>
      <top style="thin">
        <color rgb="FFE6B800"/>
      </top>
      <bottom style="thin">
        <color rgb="FFE6B800"/>
      </bottom>
      <diagonal/>
    </border>
    <border>
      <left/>
      <right style="thin">
        <color rgb="FFC9D3DF"/>
      </right>
      <top/>
      <bottom style="thin">
        <color rgb="FFC9D3DF"/>
      </bottom>
      <diagonal/>
    </border>
    <border>
      <left style="thin">
        <color rgb="FFC9D3DF"/>
      </left>
      <right style="thin">
        <color rgb="FFC9D3DF"/>
      </right>
      <top/>
      <bottom style="thin">
        <color rgb="FFC9D3DF"/>
      </bottom>
      <diagonal/>
    </border>
    <border>
      <left/>
      <right style="thin">
        <color rgb="FFC9D3DF"/>
      </right>
      <top style="thin">
        <color rgb="FFC9D3DF"/>
      </top>
      <bottom style="thin">
        <color rgb="FFC9D3DF"/>
      </bottom>
      <diagonal/>
    </border>
    <border>
      <left style="thin">
        <color rgb="FFC9D3DF"/>
      </left>
      <right/>
      <top style="thin">
        <color rgb="FFC9D3DF"/>
      </top>
      <bottom style="thin">
        <color rgb="FFC9D3DF"/>
      </bottom>
      <diagonal/>
    </border>
    <border>
      <left/>
      <right style="thin">
        <color rgb="FFC9D3DF"/>
      </right>
      <top style="thin">
        <color rgb="FFC9D3DF"/>
      </top>
      <bottom/>
      <diagonal/>
    </border>
    <border>
      <left style="thin">
        <color rgb="FFC9D3DF"/>
      </left>
      <right style="thin">
        <color rgb="FFC9D3DF"/>
      </right>
      <top style="thin">
        <color rgb="FFC9D3DF"/>
      </top>
      <bottom/>
      <diagonal/>
    </border>
    <border>
      <left style="thin">
        <color rgb="FFC9D3DF"/>
      </left>
      <right/>
      <top style="thin">
        <color rgb="FFC9D3DF"/>
      </top>
      <bottom/>
      <diagonal/>
    </border>
    <border>
      <left style="thin">
        <color rgb="FFE6B800"/>
      </left>
      <right style="thin">
        <color rgb="FFD9D9D9"/>
      </right>
      <top style="thin">
        <color rgb="FFE6B800"/>
      </top>
      <bottom style="thin">
        <color rgb="FFD9D9D9"/>
      </bottom>
      <diagonal/>
    </border>
    <border>
      <left style="thin">
        <color rgb="FFE6B800"/>
      </left>
      <right/>
      <top/>
      <bottom style="thin">
        <color rgb="FFE6B800"/>
      </bottom>
      <diagonal/>
    </border>
    <border>
      <left/>
      <right style="thin">
        <color rgb="FFE6B800"/>
      </right>
      <top/>
      <bottom style="thin">
        <color rgb="FFE6B800"/>
      </bottom>
      <diagonal/>
    </border>
    <border>
      <left/>
      <right/>
      <top style="thin">
        <color rgb="FFC9D3DF"/>
      </top>
      <bottom style="thin">
        <color rgb="FFC9D3DF"/>
      </bottom>
      <diagonal/>
    </border>
    <border>
      <left/>
      <right/>
      <top style="thin">
        <color rgb="FFE6B800"/>
      </top>
      <bottom/>
      <diagonal/>
    </border>
    <border>
      <left/>
      <right style="thin">
        <color rgb="FFE6B800"/>
      </right>
      <top style="thin">
        <color rgb="FFE6B800"/>
      </top>
      <bottom/>
      <diagonal/>
    </border>
    <border>
      <left/>
      <right/>
      <top/>
      <bottom style="thin">
        <color rgb="FFE6B800"/>
      </bottom>
      <diagonal/>
    </border>
    <border>
      <left style="thin">
        <color rgb="FFE6B800"/>
      </left>
      <right style="thin">
        <color rgb="FFE6B800"/>
      </right>
      <top style="thin">
        <color rgb="FFE6B800"/>
      </top>
      <bottom style="thin">
        <color rgb="FFE6B800"/>
      </bottom>
      <diagonal/>
    </border>
    <border>
      <left style="thin">
        <color rgb="FFE6B800"/>
      </left>
      <right style="thin">
        <color rgb="FFE6B800"/>
      </right>
      <top/>
      <bottom style="thin">
        <color rgb="FFE6B800"/>
      </bottom>
      <diagonal/>
    </border>
    <border>
      <left/>
      <right style="thin">
        <color rgb="FFD9D9D9"/>
      </right>
      <top style="thin">
        <color rgb="FFE6B800"/>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diagonal/>
    </border>
    <border>
      <left/>
      <right/>
      <top style="thin">
        <color rgb="FFD9D9D9"/>
      </top>
      <bottom/>
      <diagonal/>
    </border>
    <border>
      <left style="thin">
        <color rgb="FFD9D9D9"/>
      </left>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style="thin">
        <color rgb="FFD9D9D9"/>
      </top>
      <bottom/>
      <diagonal/>
    </border>
    <border>
      <left style="thin">
        <color rgb="FFD9D9D9"/>
      </left>
      <right style="thin">
        <color rgb="FFD9D9D9"/>
      </right>
      <top style="thin">
        <color rgb="FFD9D9D9"/>
      </top>
      <bottom/>
      <diagonal/>
    </border>
    <border>
      <left/>
      <right/>
      <top style="thin">
        <color rgb="FFD9D9D9"/>
      </top>
      <bottom style="thin">
        <color rgb="FFD9D9D9"/>
      </bottom>
      <diagonal/>
    </border>
  </borders>
  <cellStyleXfs count="1">
    <xf numFmtId="0" fontId="0" fillId="0" borderId="0"/>
  </cellStyleXfs>
  <cellXfs count="301">
    <xf numFmtId="0" fontId="0" fillId="0" borderId="0" xfId="0"/>
    <xf numFmtId="0" fontId="6" fillId="0" borderId="1" xfId="0" applyFont="1" applyBorder="1" applyAlignment="1">
      <alignment horizontal="left" vertical="center"/>
    </xf>
    <xf numFmtId="0" fontId="8" fillId="0" borderId="1" xfId="0" applyFont="1" applyBorder="1" applyAlignment="1">
      <alignment horizontal="left" vertical="center"/>
    </xf>
    <xf numFmtId="0" fontId="0" fillId="3" borderId="0" xfId="0" applyFill="1"/>
    <xf numFmtId="0" fontId="3" fillId="3" borderId="0" xfId="0" applyFont="1" applyFill="1"/>
    <xf numFmtId="3" fontId="8" fillId="3" borderId="1" xfId="0" applyNumberFormat="1" applyFont="1" applyFill="1" applyBorder="1" applyAlignment="1">
      <alignment horizontal="right"/>
    </xf>
    <xf numFmtId="0" fontId="8" fillId="6" borderId="1" xfId="0" applyFont="1" applyFill="1" applyBorder="1"/>
    <xf numFmtId="49" fontId="8" fillId="3" borderId="1" xfId="0" applyNumberFormat="1" applyFont="1" applyFill="1" applyBorder="1" applyAlignment="1">
      <alignment horizontal="right"/>
    </xf>
    <xf numFmtId="49" fontId="8" fillId="3" borderId="1" xfId="0" applyNumberFormat="1" applyFont="1" applyFill="1" applyBorder="1" applyAlignment="1">
      <alignment horizontal="left"/>
    </xf>
    <xf numFmtId="0" fontId="12" fillId="2" borderId="0" xfId="0" applyFont="1" applyFill="1"/>
    <xf numFmtId="0" fontId="12" fillId="2" borderId="0" xfId="0" applyFont="1" applyFill="1" applyAlignment="1">
      <alignment horizontal="right"/>
    </xf>
    <xf numFmtId="0" fontId="6" fillId="5" borderId="1" xfId="0" applyFont="1" applyFill="1" applyBorder="1"/>
    <xf numFmtId="3" fontId="8" fillId="0" borderId="1" xfId="0" applyNumberFormat="1" applyFont="1" applyBorder="1" applyAlignment="1">
      <alignment horizontal="right" vertical="center"/>
    </xf>
    <xf numFmtId="1" fontId="8" fillId="3" borderId="1" xfId="0" applyNumberFormat="1" applyFont="1" applyFill="1" applyBorder="1" applyAlignment="1">
      <alignment horizontal="right" vertical="center"/>
    </xf>
    <xf numFmtId="3" fontId="6" fillId="5" borderId="1" xfId="0" applyNumberFormat="1" applyFont="1" applyFill="1" applyBorder="1" applyAlignment="1">
      <alignment horizontal="right" vertical="center"/>
    </xf>
    <xf numFmtId="0" fontId="11" fillId="0" borderId="0" xfId="0" applyFont="1" applyAlignment="1">
      <alignment horizontal="left" wrapText="1"/>
    </xf>
    <xf numFmtId="0" fontId="0" fillId="7" borderId="0" xfId="0" applyFill="1"/>
    <xf numFmtId="0" fontId="8" fillId="0" borderId="0" xfId="0" applyFont="1"/>
    <xf numFmtId="1" fontId="8" fillId="8" borderId="1" xfId="0" applyNumberFormat="1" applyFont="1" applyFill="1" applyBorder="1" applyAlignment="1">
      <alignment horizontal="right"/>
    </xf>
    <xf numFmtId="0" fontId="8" fillId="0" borderId="1" xfId="0" applyFont="1" applyBorder="1"/>
    <xf numFmtId="0" fontId="17" fillId="0" borderId="0" xfId="0" applyFont="1"/>
    <xf numFmtId="0" fontId="15" fillId="9" borderId="0" xfId="0" applyFont="1" applyFill="1"/>
    <xf numFmtId="0" fontId="15" fillId="9" borderId="0" xfId="0" applyFont="1" applyFill="1" applyAlignment="1">
      <alignment horizontal="center" vertical="center" wrapText="1"/>
    </xf>
    <xf numFmtId="0" fontId="19" fillId="9" borderId="0" xfId="0" applyFont="1" applyFill="1"/>
    <xf numFmtId="0" fontId="20" fillId="0" borderId="0" xfId="0" applyFont="1"/>
    <xf numFmtId="0" fontId="21" fillId="9" borderId="0" xfId="0" applyFont="1" applyFill="1"/>
    <xf numFmtId="0" fontId="22" fillId="11" borderId="0" xfId="0" applyFont="1" applyFill="1"/>
    <xf numFmtId="0" fontId="19" fillId="12" borderId="3" xfId="0" applyFont="1" applyFill="1" applyBorder="1" applyAlignment="1">
      <alignment horizontal="center" vertical="center" wrapText="1"/>
    </xf>
    <xf numFmtId="0" fontId="0" fillId="0" borderId="3" xfId="0" applyBorder="1" applyAlignment="1">
      <alignment horizontal="center"/>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3" xfId="0" applyBorder="1" applyAlignment="1">
      <alignment wrapText="1"/>
    </xf>
    <xf numFmtId="0" fontId="0" fillId="0" borderId="11" xfId="0" applyBorder="1" applyAlignment="1">
      <alignment wrapText="1"/>
    </xf>
    <xf numFmtId="0" fontId="0" fillId="0" borderId="12" xfId="0" applyBorder="1" applyAlignment="1">
      <alignment wrapText="1"/>
    </xf>
    <xf numFmtId="10" fontId="9" fillId="5" borderId="1" xfId="0" applyNumberFormat="1" applyFont="1" applyFill="1" applyBorder="1" applyAlignment="1">
      <alignment horizontal="center" vertical="center"/>
    </xf>
    <xf numFmtId="10" fontId="8" fillId="0" borderId="1" xfId="0" applyNumberFormat="1" applyFont="1" applyBorder="1" applyAlignment="1">
      <alignment horizontal="right"/>
    </xf>
    <xf numFmtId="10" fontId="0" fillId="0" borderId="0" xfId="0" applyNumberFormat="1"/>
    <xf numFmtId="10" fontId="8" fillId="3" borderId="1" xfId="0" applyNumberFormat="1" applyFont="1" applyFill="1" applyBorder="1" applyAlignment="1">
      <alignment horizontal="right"/>
    </xf>
    <xf numFmtId="10" fontId="8" fillId="3" borderId="1" xfId="0" applyNumberFormat="1" applyFont="1" applyFill="1" applyBorder="1"/>
    <xf numFmtId="10" fontId="6" fillId="0" borderId="1" xfId="0" applyNumberFormat="1" applyFont="1" applyBorder="1" applyAlignment="1">
      <alignment horizontal="right"/>
    </xf>
    <xf numFmtId="10" fontId="6" fillId="0" borderId="1" xfId="0" applyNumberFormat="1" applyFont="1" applyBorder="1" applyAlignment="1">
      <alignment horizontal="right" vertical="center"/>
    </xf>
    <xf numFmtId="10" fontId="0" fillId="10" borderId="0" xfId="0" applyNumberFormat="1" applyFill="1"/>
    <xf numFmtId="10" fontId="7" fillId="0" borderId="1" xfId="0" applyNumberFormat="1" applyFont="1" applyBorder="1" applyAlignment="1">
      <alignment horizontal="right" vertical="center"/>
    </xf>
    <xf numFmtId="10" fontId="7" fillId="3" borderId="1" xfId="0" applyNumberFormat="1" applyFont="1" applyFill="1" applyBorder="1" applyAlignment="1">
      <alignment horizontal="right" vertical="center"/>
    </xf>
    <xf numFmtId="10" fontId="6" fillId="5" borderId="1" xfId="0" applyNumberFormat="1" applyFont="1" applyFill="1" applyBorder="1" applyAlignment="1">
      <alignment horizontal="right" vertical="center"/>
    </xf>
    <xf numFmtId="10" fontId="8" fillId="0" borderId="1" xfId="0" applyNumberFormat="1" applyFont="1" applyBorder="1" applyAlignment="1">
      <alignment horizontal="right" vertical="center"/>
    </xf>
    <xf numFmtId="10" fontId="8" fillId="3" borderId="1" xfId="0" applyNumberFormat="1" applyFont="1" applyFill="1" applyBorder="1" applyAlignment="1">
      <alignment horizontal="right" vertical="center"/>
    </xf>
    <xf numFmtId="10" fontId="6" fillId="6" borderId="1" xfId="0" applyNumberFormat="1" applyFont="1" applyFill="1" applyBorder="1" applyAlignment="1">
      <alignment horizontal="right"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0" borderId="9" xfId="0" applyFont="1" applyBorder="1" applyAlignment="1">
      <alignment horizontal="left" vertical="center"/>
    </xf>
    <xf numFmtId="10" fontId="6" fillId="0" borderId="10" xfId="0" applyNumberFormat="1" applyFont="1" applyBorder="1" applyAlignment="1">
      <alignment horizontal="right" vertical="center"/>
    </xf>
    <xf numFmtId="0" fontId="25" fillId="13" borderId="9" xfId="0" applyFont="1" applyFill="1" applyBorder="1" applyAlignment="1">
      <alignment horizontal="center" vertical="center" wrapText="1"/>
    </xf>
    <xf numFmtId="0" fontId="8" fillId="0" borderId="10" xfId="0" applyFont="1" applyBorder="1" applyAlignment="1">
      <alignment horizontal="right" vertical="center"/>
    </xf>
    <xf numFmtId="0" fontId="14" fillId="0" borderId="11" xfId="0" applyFont="1" applyBorder="1"/>
    <xf numFmtId="0" fontId="19" fillId="14" borderId="3" xfId="0" applyFont="1" applyFill="1" applyBorder="1" applyAlignment="1">
      <alignment horizontal="center" wrapText="1"/>
    </xf>
    <xf numFmtId="0" fontId="19" fillId="14" borderId="3" xfId="0" applyFont="1" applyFill="1" applyBorder="1" applyAlignment="1">
      <alignment horizontal="center" vertical="center" wrapText="1"/>
    </xf>
    <xf numFmtId="49" fontId="26" fillId="16" borderId="3" xfId="0" applyNumberFormat="1" applyFont="1" applyFill="1" applyBorder="1" applyAlignment="1">
      <alignment horizontal="center" vertical="center"/>
    </xf>
    <xf numFmtId="0" fontId="28" fillId="18" borderId="3" xfId="0" applyFont="1" applyFill="1" applyBorder="1"/>
    <xf numFmtId="0" fontId="28" fillId="18" borderId="3" xfId="0" applyFont="1" applyFill="1" applyBorder="1" applyAlignment="1">
      <alignment wrapText="1"/>
    </xf>
    <xf numFmtId="0" fontId="15" fillId="14" borderId="3" xfId="0" applyFont="1" applyFill="1" applyBorder="1" applyAlignment="1">
      <alignment horizontal="center" vertical="center" wrapText="1"/>
    </xf>
    <xf numFmtId="0" fontId="0" fillId="0" borderId="0" xfId="0" applyAlignment="1">
      <alignment wrapText="1"/>
    </xf>
    <xf numFmtId="0" fontId="5" fillId="14" borderId="1"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14" borderId="24" xfId="0" applyFont="1" applyFill="1" applyBorder="1" applyAlignment="1">
      <alignment horizontal="center" vertical="center" wrapText="1"/>
    </xf>
    <xf numFmtId="0" fontId="33" fillId="22" borderId="0" xfId="0" applyFont="1" applyFill="1"/>
    <xf numFmtId="0" fontId="5" fillId="22" borderId="25" xfId="0" applyFont="1" applyFill="1" applyBorder="1" applyAlignment="1">
      <alignment horizontal="center" vertical="center" wrapText="1"/>
    </xf>
    <xf numFmtId="10" fontId="34" fillId="23" borderId="3" xfId="0" applyNumberFormat="1" applyFont="1" applyFill="1" applyBorder="1" applyAlignment="1">
      <alignment horizontal="right"/>
    </xf>
    <xf numFmtId="0" fontId="0" fillId="0" borderId="0" xfId="0"/>
    <xf numFmtId="0" fontId="16" fillId="0" borderId="0" xfId="0" applyFont="1"/>
    <xf numFmtId="167" fontId="0" fillId="0" borderId="0" xfId="0" applyNumberFormat="1"/>
    <xf numFmtId="168" fontId="0" fillId="0" borderId="0" xfId="0" applyNumberFormat="1"/>
    <xf numFmtId="6" fontId="9" fillId="5" borderId="1" xfId="0" applyNumberFormat="1" applyFont="1" applyFill="1" applyBorder="1" applyAlignment="1">
      <alignment horizontal="center" vertical="center"/>
    </xf>
    <xf numFmtId="169" fontId="9" fillId="5"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168" fontId="9" fillId="5" borderId="1" xfId="0" applyNumberFormat="1" applyFont="1" applyFill="1" applyBorder="1" applyAlignment="1">
      <alignment horizontal="center" vertical="center"/>
    </xf>
    <xf numFmtId="168" fontId="10" fillId="5" borderId="1" xfId="0" applyNumberFormat="1" applyFont="1" applyFill="1" applyBorder="1" applyAlignment="1">
      <alignment horizontal="center" vertical="center"/>
    </xf>
    <xf numFmtId="166" fontId="31" fillId="19" borderId="3" xfId="0" applyNumberFormat="1" applyFont="1" applyFill="1" applyBorder="1" applyAlignment="1">
      <alignment horizontal="center" vertical="center"/>
    </xf>
    <xf numFmtId="6" fontId="9" fillId="5" borderId="24" xfId="0" applyNumberFormat="1" applyFont="1" applyFill="1" applyBorder="1" applyAlignment="1">
      <alignment horizontal="center" vertical="center"/>
    </xf>
    <xf numFmtId="6" fontId="9" fillId="5" borderId="25" xfId="0" applyNumberFormat="1" applyFont="1" applyFill="1" applyBorder="1" applyAlignment="1">
      <alignment horizontal="center" vertical="center"/>
    </xf>
    <xf numFmtId="168" fontId="8" fillId="0" borderId="1" xfId="0" applyNumberFormat="1" applyFont="1" applyBorder="1" applyAlignment="1">
      <alignment horizontal="right"/>
    </xf>
    <xf numFmtId="170" fontId="8" fillId="0" borderId="1" xfId="0" applyNumberFormat="1" applyFont="1" applyBorder="1" applyAlignment="1">
      <alignment horizontal="right"/>
    </xf>
    <xf numFmtId="167" fontId="0" fillId="7" borderId="0" xfId="0" applyNumberFormat="1" applyFill="1"/>
    <xf numFmtId="6" fontId="8" fillId="0" borderId="1" xfId="0" applyNumberFormat="1" applyFont="1" applyBorder="1" applyAlignment="1">
      <alignment horizontal="right"/>
    </xf>
    <xf numFmtId="168" fontId="6" fillId="3" borderId="1" xfId="0" applyNumberFormat="1" applyFont="1" applyFill="1" applyBorder="1" applyAlignment="1">
      <alignment horizontal="right"/>
    </xf>
    <xf numFmtId="167" fontId="8" fillId="0" borderId="1" xfId="0" applyNumberFormat="1" applyFont="1" applyBorder="1" applyAlignment="1">
      <alignment horizontal="right"/>
    </xf>
    <xf numFmtId="168" fontId="8" fillId="3" borderId="1" xfId="0" applyNumberFormat="1" applyFont="1" applyFill="1" applyBorder="1" applyAlignment="1">
      <alignment horizontal="right"/>
    </xf>
    <xf numFmtId="168" fontId="6" fillId="0" borderId="1" xfId="0" applyNumberFormat="1" applyFont="1" applyBorder="1" applyAlignment="1">
      <alignment horizontal="right"/>
    </xf>
    <xf numFmtId="171" fontId="8" fillId="0" borderId="10" xfId="0" applyNumberFormat="1" applyFont="1" applyBorder="1" applyAlignment="1">
      <alignment horizontal="right" vertical="center"/>
    </xf>
    <xf numFmtId="171" fontId="0" fillId="0" borderId="10" xfId="0" applyNumberFormat="1" applyBorder="1"/>
    <xf numFmtId="171" fontId="24" fillId="13" borderId="10" xfId="0" applyNumberFormat="1" applyFont="1" applyFill="1" applyBorder="1" applyAlignment="1">
      <alignment wrapText="1"/>
    </xf>
    <xf numFmtId="172" fontId="8" fillId="3" borderId="1" xfId="0" applyNumberFormat="1" applyFont="1" applyFill="1" applyBorder="1" applyAlignment="1">
      <alignment horizontal="right"/>
    </xf>
    <xf numFmtId="167" fontId="8" fillId="3" borderId="1" xfId="0" applyNumberFormat="1" applyFont="1" applyFill="1" applyBorder="1" applyAlignment="1">
      <alignment horizontal="right"/>
    </xf>
    <xf numFmtId="167" fontId="6" fillId="0" borderId="1" xfId="0" applyNumberFormat="1" applyFont="1" applyBorder="1" applyAlignment="1">
      <alignment horizontal="right"/>
    </xf>
    <xf numFmtId="171" fontId="8" fillId="0" borderId="1" xfId="0" applyNumberFormat="1" applyFont="1" applyBorder="1" applyAlignment="1">
      <alignment horizontal="right"/>
    </xf>
    <xf numFmtId="173" fontId="8" fillId="0" borderId="1" xfId="0" applyNumberFormat="1" applyFont="1" applyBorder="1" applyAlignment="1">
      <alignment horizontal="right"/>
    </xf>
    <xf numFmtId="173" fontId="6" fillId="5" borderId="1" xfId="0" applyNumberFormat="1" applyFont="1" applyFill="1" applyBorder="1" applyAlignment="1">
      <alignment horizontal="right"/>
    </xf>
    <xf numFmtId="165" fontId="8" fillId="3" borderId="1" xfId="0" applyNumberFormat="1" applyFont="1" applyFill="1" applyBorder="1" applyAlignment="1">
      <alignment horizontal="right" vertical="center"/>
    </xf>
    <xf numFmtId="174" fontId="7" fillId="0" borderId="1" xfId="0" applyNumberFormat="1" applyFont="1" applyBorder="1" applyAlignment="1">
      <alignment horizontal="right" vertical="center"/>
    </xf>
    <xf numFmtId="171" fontId="7" fillId="0" borderId="1" xfId="0" applyNumberFormat="1" applyFont="1" applyBorder="1" applyAlignment="1">
      <alignment horizontal="right" vertical="center"/>
    </xf>
    <xf numFmtId="6" fontId="8" fillId="0" borderId="1" xfId="0" applyNumberFormat="1" applyFont="1" applyBorder="1" applyAlignment="1">
      <alignment horizontal="right" vertical="center"/>
    </xf>
    <xf numFmtId="6" fontId="4" fillId="2" borderId="1" xfId="0" applyNumberFormat="1" applyFont="1" applyFill="1" applyBorder="1" applyAlignment="1">
      <alignment horizontal="center" vertical="center" wrapText="1"/>
    </xf>
    <xf numFmtId="6" fontId="6" fillId="5" borderId="1" xfId="0" applyNumberFormat="1" applyFont="1" applyFill="1" applyBorder="1" applyAlignment="1">
      <alignment horizontal="right" vertical="center"/>
    </xf>
    <xf numFmtId="166" fontId="32" fillId="19" borderId="3" xfId="0" applyNumberFormat="1" applyFont="1" applyFill="1" applyBorder="1" applyAlignment="1">
      <alignment horizontal="right"/>
    </xf>
    <xf numFmtId="6" fontId="0" fillId="0" borderId="0" xfId="0" applyNumberFormat="1"/>
    <xf numFmtId="173" fontId="0" fillId="0" borderId="0" xfId="0" applyNumberFormat="1"/>
    <xf numFmtId="6" fontId="6" fillId="6" borderId="1" xfId="0" applyNumberFormat="1" applyFont="1" applyFill="1" applyBorder="1" applyAlignment="1">
      <alignment horizontal="right" vertical="center"/>
    </xf>
    <xf numFmtId="171" fontId="8" fillId="0" borderId="1" xfId="0" applyNumberFormat="1" applyFont="1" applyBorder="1" applyAlignment="1">
      <alignment horizontal="right" vertical="center"/>
    </xf>
    <xf numFmtId="165" fontId="8" fillId="0" borderId="1" xfId="0" applyNumberFormat="1" applyFont="1" applyBorder="1" applyAlignment="1">
      <alignment horizontal="right" vertical="center"/>
    </xf>
    <xf numFmtId="6" fontId="7" fillId="0" borderId="10" xfId="0" applyNumberFormat="1" applyFont="1" applyBorder="1" applyAlignment="1">
      <alignment horizontal="right" vertical="center"/>
    </xf>
    <xf numFmtId="6" fontId="8" fillId="0" borderId="10" xfId="0" applyNumberFormat="1" applyFont="1" applyBorder="1" applyAlignment="1">
      <alignment horizontal="right" vertical="center"/>
    </xf>
    <xf numFmtId="6" fontId="6" fillId="0" borderId="10" xfId="0" applyNumberFormat="1" applyFont="1" applyBorder="1" applyAlignment="1">
      <alignment horizontal="right" vertical="center"/>
    </xf>
    <xf numFmtId="6" fontId="6" fillId="6" borderId="10" xfId="0" applyNumberFormat="1" applyFont="1" applyFill="1" applyBorder="1" applyAlignment="1">
      <alignment horizontal="right" vertical="center"/>
    </xf>
    <xf numFmtId="6" fontId="13" fillId="6" borderId="13" xfId="0" applyNumberFormat="1" applyFont="1" applyFill="1" applyBorder="1" applyAlignment="1">
      <alignment horizontal="right" vertical="center"/>
    </xf>
    <xf numFmtId="6" fontId="7" fillId="0" borderId="1" xfId="0" applyNumberFormat="1" applyFont="1" applyBorder="1" applyAlignment="1">
      <alignment horizontal="right" vertical="center"/>
    </xf>
    <xf numFmtId="6" fontId="6" fillId="0" borderId="1" xfId="0" applyNumberFormat="1" applyFont="1" applyBorder="1" applyAlignment="1">
      <alignment horizontal="right" vertical="center"/>
    </xf>
    <xf numFmtId="6" fontId="13" fillId="0" borderId="1" xfId="0" applyNumberFormat="1" applyFont="1" applyBorder="1" applyAlignment="1">
      <alignment horizontal="right" vertical="center"/>
    </xf>
    <xf numFmtId="175" fontId="0" fillId="0" borderId="0" xfId="0" applyNumberFormat="1"/>
    <xf numFmtId="168" fontId="8" fillId="0" borderId="1" xfId="0" applyNumberFormat="1" applyFont="1" applyBorder="1" applyAlignment="1">
      <alignment horizontal="right" vertical="center"/>
    </xf>
    <xf numFmtId="165" fontId="0" fillId="0" borderId="0" xfId="0" applyNumberFormat="1"/>
    <xf numFmtId="168" fontId="7" fillId="0" borderId="1" xfId="0" applyNumberFormat="1" applyFont="1" applyBorder="1" applyAlignment="1">
      <alignment horizontal="right" vertical="center"/>
    </xf>
    <xf numFmtId="176" fontId="8" fillId="0" borderId="1" xfId="0" applyNumberFormat="1" applyFont="1" applyBorder="1" applyAlignment="1">
      <alignment horizontal="right" vertical="center"/>
    </xf>
    <xf numFmtId="168" fontId="6" fillId="5" borderId="1" xfId="0" applyNumberFormat="1" applyFont="1" applyFill="1" applyBorder="1" applyAlignment="1">
      <alignment horizontal="right" vertical="center"/>
    </xf>
    <xf numFmtId="10" fontId="6" fillId="5" borderId="25" xfId="0" applyNumberFormat="1" applyFont="1" applyFill="1" applyBorder="1" applyAlignment="1">
      <alignment horizontal="right" vertical="center"/>
    </xf>
    <xf numFmtId="167" fontId="0" fillId="10" borderId="0" xfId="0" applyNumberFormat="1" applyFill="1"/>
    <xf numFmtId="177" fontId="27" fillId="16" borderId="0" xfId="0" applyNumberFormat="1" applyFont="1" applyFill="1"/>
    <xf numFmtId="173" fontId="0" fillId="0" borderId="3" xfId="0" applyNumberFormat="1" applyBorder="1"/>
    <xf numFmtId="178" fontId="29" fillId="19" borderId="3" xfId="0" applyNumberFormat="1" applyFont="1" applyFill="1" applyBorder="1" applyAlignment="1">
      <alignment horizontal="right"/>
    </xf>
    <xf numFmtId="166" fontId="29" fillId="19" borderId="3" xfId="0" applyNumberFormat="1" applyFont="1" applyFill="1" applyBorder="1" applyAlignment="1">
      <alignment horizontal="right"/>
    </xf>
    <xf numFmtId="173" fontId="29" fillId="19" borderId="3" xfId="0" applyNumberFormat="1" applyFont="1" applyFill="1" applyBorder="1" applyAlignment="1">
      <alignment horizontal="right"/>
    </xf>
    <xf numFmtId="6" fontId="29" fillId="19" borderId="3" xfId="0" applyNumberFormat="1" applyFont="1" applyFill="1" applyBorder="1" applyAlignment="1">
      <alignment horizontal="right"/>
    </xf>
    <xf numFmtId="10" fontId="40" fillId="5" borderId="1" xfId="0" applyNumberFormat="1" applyFont="1" applyFill="1" applyBorder="1" applyAlignment="1">
      <alignment horizontal="center" vertical="center"/>
    </xf>
    <xf numFmtId="164" fontId="40" fillId="5" borderId="1" xfId="0" applyNumberFormat="1" applyFont="1" applyFill="1" applyBorder="1" applyAlignment="1">
      <alignment horizontal="center" vertical="center"/>
    </xf>
    <xf numFmtId="10" fontId="38" fillId="0" borderId="1" xfId="0" applyNumberFormat="1" applyFont="1" applyBorder="1" applyAlignment="1">
      <alignment horizontal="right"/>
    </xf>
    <xf numFmtId="6" fontId="39" fillId="6" borderId="1" xfId="0" applyNumberFormat="1" applyFont="1" applyFill="1" applyBorder="1" applyAlignment="1">
      <alignment horizontal="right"/>
    </xf>
    <xf numFmtId="164" fontId="38" fillId="0" borderId="1" xfId="0" applyNumberFormat="1" applyFont="1" applyBorder="1" applyAlignment="1">
      <alignment horizontal="right"/>
    </xf>
    <xf numFmtId="0" fontId="36" fillId="0" borderId="26" xfId="0" applyFont="1" applyBorder="1"/>
    <xf numFmtId="171" fontId="37" fillId="25" borderId="26" xfId="0" applyNumberFormat="1" applyFont="1" applyFill="1" applyBorder="1"/>
    <xf numFmtId="2" fontId="37" fillId="25" borderId="26" xfId="0" applyNumberFormat="1" applyFont="1" applyFill="1" applyBorder="1"/>
    <xf numFmtId="10" fontId="37" fillId="25" borderId="26" xfId="0" applyNumberFormat="1" applyFont="1" applyFill="1" applyBorder="1"/>
    <xf numFmtId="0" fontId="4" fillId="22" borderId="25" xfId="0" applyFont="1" applyFill="1" applyBorder="1" applyAlignment="1">
      <alignment horizontal="center" vertical="center" wrapText="1"/>
    </xf>
    <xf numFmtId="168" fontId="7" fillId="0" borderId="25" xfId="0" applyNumberFormat="1" applyFont="1" applyBorder="1" applyAlignment="1">
      <alignment horizontal="right" vertical="center"/>
    </xf>
    <xf numFmtId="176" fontId="8" fillId="0" borderId="25" xfId="0" applyNumberFormat="1" applyFont="1" applyBorder="1" applyAlignment="1">
      <alignment horizontal="right" vertical="center"/>
    </xf>
    <xf numFmtId="168" fontId="8" fillId="0" borderId="25" xfId="0" applyNumberFormat="1" applyFont="1" applyBorder="1" applyAlignment="1">
      <alignment horizontal="right" vertical="center"/>
    </xf>
    <xf numFmtId="0" fontId="0" fillId="0" borderId="0" xfId="0" applyFill="1"/>
    <xf numFmtId="179" fontId="0" fillId="0" borderId="0" xfId="0" applyNumberFormat="1"/>
    <xf numFmtId="0" fontId="8" fillId="0" borderId="27" xfId="0" applyFont="1" applyFill="1" applyBorder="1" applyAlignment="1">
      <alignment wrapText="1"/>
    </xf>
    <xf numFmtId="0" fontId="8" fillId="0" borderId="29" xfId="0" applyFont="1" applyFill="1" applyBorder="1" applyAlignment="1">
      <alignment wrapText="1"/>
    </xf>
    <xf numFmtId="6" fontId="6" fillId="29" borderId="30" xfId="0" applyNumberFormat="1" applyFont="1" applyFill="1" applyBorder="1"/>
    <xf numFmtId="0" fontId="8" fillId="30" borderId="29" xfId="0" applyFont="1" applyFill="1" applyBorder="1" applyAlignment="1">
      <alignment wrapText="1"/>
    </xf>
    <xf numFmtId="6" fontId="6" fillId="30" borderId="30" xfId="0" applyNumberFormat="1" applyFont="1" applyFill="1" applyBorder="1"/>
    <xf numFmtId="0" fontId="8" fillId="30" borderId="27" xfId="0" applyFont="1" applyFill="1" applyBorder="1" applyAlignment="1">
      <alignment wrapText="1"/>
    </xf>
    <xf numFmtId="6" fontId="6" fillId="30" borderId="31" xfId="0" applyNumberFormat="1" applyFont="1" applyFill="1" applyBorder="1"/>
    <xf numFmtId="6" fontId="6" fillId="29" borderId="31" xfId="0" applyNumberFormat="1" applyFont="1" applyFill="1" applyBorder="1"/>
    <xf numFmtId="0" fontId="4" fillId="26" borderId="27" xfId="0" applyFont="1" applyFill="1" applyBorder="1" applyAlignment="1">
      <alignment horizontal="center" wrapText="1"/>
    </xf>
    <xf numFmtId="6" fontId="14" fillId="0" borderId="29" xfId="0" applyNumberFormat="1" applyFont="1" applyFill="1" applyBorder="1"/>
    <xf numFmtId="0" fontId="4" fillId="26" borderId="32" xfId="0" applyFont="1" applyFill="1" applyBorder="1" applyAlignment="1">
      <alignment horizontal="center" wrapText="1"/>
    </xf>
    <xf numFmtId="6" fontId="14" fillId="0" borderId="27" xfId="0" applyNumberFormat="1" applyFont="1" applyFill="1" applyBorder="1"/>
    <xf numFmtId="6" fontId="6" fillId="27" borderId="31" xfId="0" applyNumberFormat="1" applyFont="1" applyFill="1" applyBorder="1"/>
    <xf numFmtId="10" fontId="6" fillId="29" borderId="31" xfId="0" applyNumberFormat="1" applyFont="1" applyFill="1" applyBorder="1"/>
    <xf numFmtId="10" fontId="6" fillId="30" borderId="30" xfId="0" applyNumberFormat="1" applyFont="1" applyFill="1" applyBorder="1"/>
    <xf numFmtId="10" fontId="6" fillId="27" borderId="31" xfId="0" applyNumberFormat="1" applyFont="1" applyFill="1" applyBorder="1"/>
    <xf numFmtId="10" fontId="14" fillId="27" borderId="27" xfId="0" applyNumberFormat="1" applyFont="1" applyFill="1" applyBorder="1"/>
    <xf numFmtId="10" fontId="14" fillId="0" borderId="27" xfId="0" applyNumberFormat="1" applyFont="1" applyFill="1" applyBorder="1"/>
    <xf numFmtId="164" fontId="14" fillId="0" borderId="32" xfId="0" applyNumberFormat="1" applyFont="1" applyFill="1" applyBorder="1"/>
    <xf numFmtId="10" fontId="14" fillId="27" borderId="29" xfId="0" applyNumberFormat="1" applyFont="1" applyFill="1" applyBorder="1"/>
    <xf numFmtId="10" fontId="14" fillId="0" borderId="29" xfId="0" applyNumberFormat="1" applyFont="1" applyFill="1" applyBorder="1"/>
    <xf numFmtId="164" fontId="14" fillId="0" borderId="26" xfId="0" applyNumberFormat="1" applyFont="1" applyFill="1" applyBorder="1"/>
    <xf numFmtId="0" fontId="8" fillId="0" borderId="27" xfId="0" applyFont="1" applyBorder="1"/>
    <xf numFmtId="168" fontId="44" fillId="27" borderId="31" xfId="0" applyNumberFormat="1" applyFont="1" applyFill="1" applyBorder="1"/>
    <xf numFmtId="0" fontId="8" fillId="30" borderId="29" xfId="0" applyFont="1" applyFill="1" applyBorder="1"/>
    <xf numFmtId="168" fontId="44" fillId="30" borderId="30" xfId="0" applyNumberFormat="1" applyFont="1" applyFill="1" applyBorder="1"/>
    <xf numFmtId="0" fontId="8" fillId="30" borderId="27" xfId="0" applyFont="1" applyFill="1" applyBorder="1"/>
    <xf numFmtId="168" fontId="44" fillId="30" borderId="31" xfId="0" applyNumberFormat="1" applyFont="1" applyFill="1" applyBorder="1"/>
    <xf numFmtId="168" fontId="44" fillId="29" borderId="31" xfId="0" applyNumberFormat="1" applyFont="1" applyFill="1" applyBorder="1"/>
    <xf numFmtId="1" fontId="44" fillId="29" borderId="31" xfId="0" applyNumberFormat="1" applyFont="1" applyFill="1" applyBorder="1"/>
    <xf numFmtId="10" fontId="44" fillId="27" borderId="31" xfId="0" applyNumberFormat="1" applyFont="1" applyFill="1" applyBorder="1"/>
    <xf numFmtId="0" fontId="4" fillId="26" borderId="27" xfId="0" applyFont="1" applyFill="1" applyBorder="1"/>
    <xf numFmtId="0" fontId="14" fillId="0" borderId="27" xfId="0" applyFont="1" applyBorder="1"/>
    <xf numFmtId="168" fontId="43" fillId="27" borderId="27" xfId="0" applyNumberFormat="1" applyFont="1" applyFill="1" applyBorder="1"/>
    <xf numFmtId="0" fontId="4" fillId="26" borderId="32" xfId="0" applyFont="1" applyFill="1" applyBorder="1"/>
    <xf numFmtId="0" fontId="43" fillId="27" borderId="26" xfId="0" applyFont="1" applyFill="1" applyBorder="1"/>
    <xf numFmtId="0" fontId="43" fillId="27" borderId="32" xfId="0" applyFont="1" applyFill="1" applyBorder="1"/>
    <xf numFmtId="1" fontId="44" fillId="27" borderId="31" xfId="0" applyNumberFormat="1" applyFont="1" applyFill="1" applyBorder="1"/>
    <xf numFmtId="0" fontId="46" fillId="0" borderId="0" xfId="0" applyFont="1"/>
    <xf numFmtId="0" fontId="14" fillId="27" borderId="26" xfId="0" applyFont="1" applyFill="1" applyBorder="1"/>
    <xf numFmtId="168" fontId="14" fillId="27" borderId="27" xfId="0" applyNumberFormat="1" applyFont="1" applyFill="1" applyBorder="1"/>
    <xf numFmtId="168" fontId="14" fillId="27" borderId="29" xfId="0" applyNumberFormat="1" applyFont="1" applyFill="1" applyBorder="1"/>
    <xf numFmtId="0" fontId="14" fillId="27" borderId="32" xfId="0" applyFont="1" applyFill="1" applyBorder="1"/>
    <xf numFmtId="10" fontId="44" fillId="29" borderId="31" xfId="0" applyNumberFormat="1" applyFont="1" applyFill="1" applyBorder="1"/>
    <xf numFmtId="168" fontId="14" fillId="29" borderId="27" xfId="0" applyNumberFormat="1" applyFont="1" applyFill="1" applyBorder="1"/>
    <xf numFmtId="168" fontId="14" fillId="29" borderId="29" xfId="0" applyNumberFormat="1" applyFont="1" applyFill="1" applyBorder="1"/>
    <xf numFmtId="168" fontId="14" fillId="29" borderId="26" xfId="0" applyNumberFormat="1" applyFont="1" applyFill="1" applyBorder="1"/>
    <xf numFmtId="168" fontId="14" fillId="29" borderId="32" xfId="0" applyNumberFormat="1" applyFont="1" applyFill="1" applyBorder="1"/>
    <xf numFmtId="0" fontId="8" fillId="0" borderId="29" xfId="0" applyFont="1" applyBorder="1"/>
    <xf numFmtId="180" fontId="44" fillId="27" borderId="31" xfId="0" applyNumberFormat="1" applyFont="1" applyFill="1" applyBorder="1"/>
    <xf numFmtId="168" fontId="44" fillId="29" borderId="30" xfId="0" applyNumberFormat="1" applyFont="1" applyFill="1" applyBorder="1"/>
    <xf numFmtId="0" fontId="47" fillId="0" borderId="0" xfId="0" applyFont="1"/>
    <xf numFmtId="10" fontId="44" fillId="27" borderId="27" xfId="0" applyNumberFormat="1" applyFont="1" applyFill="1" applyBorder="1"/>
    <xf numFmtId="10" fontId="14" fillId="29" borderId="27" xfId="0" applyNumberFormat="1" applyFont="1" applyFill="1" applyBorder="1"/>
    <xf numFmtId="168" fontId="44" fillId="27" borderId="33" xfId="0" applyNumberFormat="1" applyFont="1" applyFill="1" applyBorder="1"/>
    <xf numFmtId="10" fontId="14" fillId="29" borderId="29" xfId="0" applyNumberFormat="1" applyFont="1" applyFill="1" applyBorder="1"/>
    <xf numFmtId="10" fontId="14" fillId="29" borderId="26" xfId="0" applyNumberFormat="1" applyFont="1" applyFill="1" applyBorder="1"/>
    <xf numFmtId="10" fontId="44" fillId="27" borderId="32" xfId="0" applyNumberFormat="1" applyFont="1" applyFill="1" applyBorder="1"/>
    <xf numFmtId="168" fontId="44" fillId="27" borderId="28" xfId="0" applyNumberFormat="1" applyFont="1" applyFill="1" applyBorder="1"/>
    <xf numFmtId="10" fontId="14" fillId="29" borderId="32" xfId="0" applyNumberFormat="1" applyFont="1" applyFill="1" applyBorder="1"/>
    <xf numFmtId="10" fontId="14" fillId="30" borderId="27" xfId="0" applyNumberFormat="1" applyFont="1" applyFill="1" applyBorder="1"/>
    <xf numFmtId="167" fontId="44" fillId="27" borderId="27" xfId="0" applyNumberFormat="1" applyFont="1" applyFill="1" applyBorder="1"/>
    <xf numFmtId="167" fontId="44" fillId="27" borderId="32" xfId="0" applyNumberFormat="1" applyFont="1" applyFill="1" applyBorder="1"/>
    <xf numFmtId="10" fontId="44" fillId="27" borderId="33" xfId="0" applyNumberFormat="1" applyFont="1" applyFill="1" applyBorder="1"/>
    <xf numFmtId="10" fontId="44" fillId="27" borderId="28" xfId="0" applyNumberFormat="1" applyFont="1" applyFill="1" applyBorder="1"/>
    <xf numFmtId="0" fontId="14" fillId="0" borderId="0" xfId="0" applyFont="1"/>
    <xf numFmtId="167" fontId="44" fillId="27" borderId="0" xfId="0" applyNumberFormat="1" applyFont="1" applyFill="1"/>
    <xf numFmtId="0" fontId="5" fillId="26" borderId="27" xfId="0" applyFont="1" applyFill="1" applyBorder="1" applyAlignment="1">
      <alignment horizontal="center" wrapText="1"/>
    </xf>
    <xf numFmtId="168" fontId="44" fillId="30" borderId="29" xfId="0" applyNumberFormat="1" applyFont="1" applyFill="1" applyBorder="1" applyAlignment="1">
      <alignment horizontal="center"/>
    </xf>
    <xf numFmtId="168" fontId="44" fillId="30" borderId="26" xfId="0" applyNumberFormat="1" applyFont="1" applyFill="1" applyBorder="1" applyAlignment="1">
      <alignment horizontal="center"/>
    </xf>
    <xf numFmtId="49" fontId="44" fillId="30" borderId="29" xfId="0" applyNumberFormat="1" applyFont="1" applyFill="1" applyBorder="1" applyAlignment="1">
      <alignment horizontal="center"/>
    </xf>
    <xf numFmtId="10" fontId="44" fillId="30" borderId="29" xfId="0" applyNumberFormat="1" applyFont="1" applyFill="1" applyBorder="1" applyAlignment="1">
      <alignment horizontal="center"/>
    </xf>
    <xf numFmtId="0" fontId="5" fillId="26" borderId="32" xfId="0" applyFont="1" applyFill="1" applyBorder="1" applyAlignment="1">
      <alignment horizontal="center" wrapText="1"/>
    </xf>
    <xf numFmtId="167" fontId="44" fillId="29" borderId="29" xfId="0" applyNumberFormat="1" applyFont="1" applyFill="1" applyBorder="1" applyAlignment="1">
      <alignment horizontal="center"/>
    </xf>
    <xf numFmtId="168" fontId="44" fillId="29" borderId="29" xfId="0" applyNumberFormat="1" applyFont="1" applyFill="1" applyBorder="1" applyAlignment="1">
      <alignment horizontal="center"/>
    </xf>
    <xf numFmtId="168" fontId="44" fillId="29" borderId="26" xfId="0" applyNumberFormat="1" applyFont="1" applyFill="1" applyBorder="1" applyAlignment="1">
      <alignment horizontal="center"/>
    </xf>
    <xf numFmtId="10" fontId="44" fillId="29" borderId="29" xfId="0" applyNumberFormat="1" applyFont="1" applyFill="1" applyBorder="1" applyAlignment="1">
      <alignment horizontal="center"/>
    </xf>
    <xf numFmtId="10" fontId="44" fillId="29" borderId="26" xfId="0" applyNumberFormat="1" applyFont="1" applyFill="1" applyBorder="1" applyAlignment="1">
      <alignment horizontal="center"/>
    </xf>
    <xf numFmtId="0" fontId="14" fillId="0" borderId="29" xfId="0" applyFont="1" applyBorder="1"/>
    <xf numFmtId="167" fontId="14" fillId="29" borderId="29" xfId="0" applyNumberFormat="1" applyFont="1" applyFill="1" applyBorder="1"/>
    <xf numFmtId="167" fontId="14" fillId="29" borderId="26" xfId="0" applyNumberFormat="1" applyFont="1" applyFill="1" applyBorder="1"/>
    <xf numFmtId="167" fontId="14" fillId="29" borderId="27" xfId="0" applyNumberFormat="1" applyFont="1" applyFill="1" applyBorder="1"/>
    <xf numFmtId="167" fontId="14" fillId="29" borderId="32" xfId="0" applyNumberFormat="1" applyFont="1" applyFill="1" applyBorder="1"/>
    <xf numFmtId="3" fontId="44" fillId="30" borderId="29" xfId="0" applyNumberFormat="1" applyFont="1" applyFill="1" applyBorder="1" applyAlignment="1">
      <alignment horizontal="center"/>
    </xf>
    <xf numFmtId="170" fontId="44" fillId="29" borderId="29" xfId="0" applyNumberFormat="1" applyFont="1" applyFill="1" applyBorder="1" applyAlignment="1">
      <alignment horizontal="center"/>
    </xf>
    <xf numFmtId="170" fontId="44" fillId="29" borderId="26" xfId="0" applyNumberFormat="1" applyFont="1" applyFill="1" applyBorder="1" applyAlignment="1">
      <alignment horizontal="center"/>
    </xf>
    <xf numFmtId="3" fontId="44" fillId="29" borderId="29" xfId="0" applyNumberFormat="1" applyFont="1" applyFill="1" applyBorder="1" applyAlignment="1">
      <alignment horizontal="center"/>
    </xf>
    <xf numFmtId="164" fontId="44" fillId="29" borderId="29" xfId="0" applyNumberFormat="1" applyFont="1" applyFill="1" applyBorder="1" applyAlignment="1">
      <alignment horizontal="center"/>
    </xf>
    <xf numFmtId="166" fontId="44" fillId="29" borderId="29" xfId="0" applyNumberFormat="1" applyFont="1" applyFill="1" applyBorder="1" applyAlignment="1">
      <alignment horizontal="center"/>
    </xf>
    <xf numFmtId="166" fontId="14" fillId="29" borderId="27" xfId="0" applyNumberFormat="1" applyFont="1" applyFill="1" applyBorder="1"/>
    <xf numFmtId="166" fontId="14" fillId="29" borderId="32" xfId="0" applyNumberFormat="1" applyFont="1" applyFill="1" applyBorder="1"/>
    <xf numFmtId="0" fontId="8" fillId="32" borderId="26" xfId="0" applyFont="1" applyFill="1" applyBorder="1"/>
    <xf numFmtId="1" fontId="14" fillId="27" borderId="33" xfId="0" applyNumberFormat="1" applyFont="1" applyFill="1" applyBorder="1"/>
    <xf numFmtId="1" fontId="14" fillId="27" borderId="28" xfId="0" applyNumberFormat="1" applyFont="1" applyFill="1" applyBorder="1"/>
    <xf numFmtId="0" fontId="8" fillId="32" borderId="32" xfId="0" applyFont="1" applyFill="1" applyBorder="1"/>
    <xf numFmtId="1" fontId="8" fillId="32" borderId="27" xfId="0" applyNumberFormat="1" applyFont="1" applyFill="1" applyBorder="1"/>
    <xf numFmtId="1" fontId="8" fillId="32" borderId="29" xfId="0" applyNumberFormat="1" applyFont="1" applyFill="1" applyBorder="1"/>
    <xf numFmtId="10" fontId="49" fillId="30" borderId="27" xfId="0" applyNumberFormat="1" applyFont="1" applyFill="1" applyBorder="1"/>
    <xf numFmtId="0" fontId="5" fillId="26" borderId="28" xfId="0" applyFont="1" applyFill="1" applyBorder="1" applyAlignment="1">
      <alignment horizontal="center" wrapText="1"/>
    </xf>
    <xf numFmtId="168" fontId="44" fillId="30" borderId="33" xfId="0" applyNumberFormat="1" applyFont="1" applyFill="1" applyBorder="1" applyAlignment="1">
      <alignment horizontal="center"/>
    </xf>
    <xf numFmtId="167" fontId="44" fillId="29" borderId="33" xfId="0" applyNumberFormat="1" applyFont="1" applyFill="1" applyBorder="1" applyAlignment="1">
      <alignment horizontal="center"/>
    </xf>
    <xf numFmtId="168" fontId="44" fillId="29" borderId="33" xfId="0" applyNumberFormat="1" applyFont="1" applyFill="1" applyBorder="1" applyAlignment="1">
      <alignment horizontal="center"/>
    </xf>
    <xf numFmtId="167" fontId="44" fillId="30" borderId="33" xfId="0" applyNumberFormat="1" applyFont="1" applyFill="1" applyBorder="1" applyAlignment="1">
      <alignment horizontal="center"/>
    </xf>
    <xf numFmtId="0" fontId="50" fillId="32" borderId="0" xfId="0" applyFont="1" applyFill="1" applyAlignment="1">
      <alignment horizontal="right"/>
    </xf>
    <xf numFmtId="168" fontId="8" fillId="32" borderId="0" xfId="0" applyNumberFormat="1" applyFont="1" applyFill="1" applyBorder="1"/>
    <xf numFmtId="10" fontId="8" fillId="32" borderId="0" xfId="0" applyNumberFormat="1" applyFont="1" applyFill="1" applyBorder="1"/>
    <xf numFmtId="0" fontId="5" fillId="26" borderId="32" xfId="0" applyFont="1" applyFill="1" applyBorder="1" applyAlignment="1">
      <alignment horizontal="center" vertical="center" wrapText="1"/>
    </xf>
    <xf numFmtId="0" fontId="5" fillId="26" borderId="2" xfId="0" applyFont="1" applyFill="1" applyBorder="1" applyAlignment="1">
      <alignment horizontal="center" vertical="center" wrapText="1"/>
    </xf>
    <xf numFmtId="0" fontId="3" fillId="28" borderId="0" xfId="0" applyFont="1" applyFill="1"/>
    <xf numFmtId="0" fontId="1" fillId="26" borderId="0" xfId="0" applyFont="1" applyFill="1"/>
    <xf numFmtId="0" fontId="2" fillId="27" borderId="0" xfId="0" applyFont="1" applyFill="1" applyAlignment="1">
      <alignment wrapText="1"/>
    </xf>
    <xf numFmtId="0" fontId="44" fillId="31" borderId="0" xfId="0" applyFont="1" applyFill="1"/>
    <xf numFmtId="0" fontId="48" fillId="0" borderId="0" xfId="0" applyFont="1" applyAlignment="1">
      <alignment wrapText="1"/>
    </xf>
    <xf numFmtId="0" fontId="3" fillId="4" borderId="0" xfId="0" applyFont="1" applyFill="1"/>
    <xf numFmtId="0" fontId="0" fillId="0" borderId="0" xfId="0"/>
    <xf numFmtId="0" fontId="0" fillId="0" borderId="11" xfId="0" applyBorder="1"/>
    <xf numFmtId="0" fontId="1" fillId="2" borderId="0" xfId="0" applyFont="1" applyFill="1" applyAlignment="1">
      <alignment horizontal="left" vertical="center"/>
    </xf>
    <xf numFmtId="0" fontId="4" fillId="2" borderId="25" xfId="0" applyFont="1" applyFill="1" applyBorder="1" applyAlignment="1">
      <alignment horizontal="left" vertical="center"/>
    </xf>
    <xf numFmtId="0" fontId="0" fillId="0" borderId="2" xfId="0" applyBorder="1"/>
    <xf numFmtId="0" fontId="3" fillId="4" borderId="0" xfId="0" applyFont="1" applyFill="1" applyAlignment="1">
      <alignment horizontal="left" vertical="center"/>
    </xf>
    <xf numFmtId="0" fontId="45" fillId="31" borderId="28" xfId="0" applyFont="1" applyFill="1" applyBorder="1" applyAlignment="1">
      <alignment wrapText="1"/>
    </xf>
    <xf numFmtId="0" fontId="1" fillId="26" borderId="0" xfId="0" applyFont="1" applyFill="1" applyAlignment="1"/>
    <xf numFmtId="0" fontId="45" fillId="31" borderId="0" xfId="0" applyFont="1" applyFill="1" applyBorder="1" applyAlignment="1">
      <alignment wrapText="1"/>
    </xf>
    <xf numFmtId="0" fontId="45" fillId="31" borderId="0" xfId="0" applyFont="1" applyFill="1" applyAlignment="1">
      <alignment wrapText="1"/>
    </xf>
    <xf numFmtId="0" fontId="18" fillId="17" borderId="3" xfId="0" applyFont="1" applyFill="1" applyBorder="1"/>
    <xf numFmtId="0" fontId="0" fillId="0" borderId="9" xfId="0" applyBorder="1"/>
    <xf numFmtId="0" fontId="2" fillId="3" borderId="0" xfId="0" applyFont="1" applyFill="1" applyAlignment="1">
      <alignment horizontal="left" vertical="center" wrapText="1"/>
    </xf>
    <xf numFmtId="0" fontId="42" fillId="31" borderId="28" xfId="0" applyFont="1" applyFill="1" applyBorder="1" applyAlignment="1">
      <alignment wrapText="1"/>
    </xf>
    <xf numFmtId="0" fontId="25" fillId="13" borderId="14" xfId="0" applyFont="1" applyFill="1" applyBorder="1" applyAlignment="1">
      <alignment horizontal="center" vertical="center" wrapText="1"/>
    </xf>
    <xf numFmtId="0" fontId="0" fillId="0" borderId="23" xfId="0" applyBorder="1"/>
    <xf numFmtId="0" fontId="3" fillId="4" borderId="7" xfId="0" applyFont="1" applyFill="1" applyBorder="1" applyAlignment="1">
      <alignment horizontal="left" vertical="center"/>
    </xf>
    <xf numFmtId="0" fontId="0" fillId="0" borderId="7" xfId="0" applyBorder="1"/>
    <xf numFmtId="0" fontId="3" fillId="21" borderId="7" xfId="0" applyFont="1" applyFill="1" applyBorder="1" applyAlignment="1">
      <alignment horizontal="left" vertical="center"/>
    </xf>
    <xf numFmtId="0" fontId="24" fillId="13" borderId="22" xfId="0" applyFont="1" applyFill="1" applyBorder="1" applyAlignment="1">
      <alignment wrapText="1"/>
    </xf>
    <xf numFmtId="0" fontId="0" fillId="0" borderId="16" xfId="0" applyBorder="1"/>
    <xf numFmtId="0" fontId="42" fillId="31" borderId="0" xfId="0" applyFont="1" applyFill="1" applyAlignment="1">
      <alignment wrapText="1"/>
    </xf>
    <xf numFmtId="0" fontId="24" fillId="13" borderId="21" xfId="0" applyFont="1" applyFill="1" applyBorder="1" applyAlignment="1">
      <alignment wrapText="1"/>
    </xf>
    <xf numFmtId="0" fontId="0" fillId="0" borderId="5" xfId="0" applyBorder="1"/>
    <xf numFmtId="0" fontId="0" fillId="0" borderId="6" xfId="0" applyBorder="1"/>
    <xf numFmtId="0" fontId="18" fillId="0" borderId="0" xfId="0" applyFont="1"/>
    <xf numFmtId="0" fontId="16" fillId="0" borderId="0" xfId="0" applyFont="1"/>
    <xf numFmtId="0" fontId="30" fillId="20" borderId="21" xfId="0" applyFont="1" applyFill="1" applyBorder="1" applyAlignment="1">
      <alignment vertical="center" wrapText="1"/>
    </xf>
    <xf numFmtId="0" fontId="26" fillId="15" borderId="0" xfId="0" applyFont="1" applyFill="1" applyAlignment="1">
      <alignment vertical="center" wrapText="1"/>
    </xf>
    <xf numFmtId="0" fontId="23" fillId="14" borderId="0" xfId="0" applyFont="1" applyFill="1" applyAlignment="1">
      <alignment horizontal="left" vertical="center"/>
    </xf>
    <xf numFmtId="0" fontId="18" fillId="17" borderId="3" xfId="0" applyFont="1" applyFill="1" applyBorder="1" applyAlignment="1">
      <alignment vertical="center"/>
    </xf>
    <xf numFmtId="0" fontId="0" fillId="0" borderId="17" xfId="0" applyBorder="1"/>
    <xf numFmtId="0" fontId="0" fillId="0" borderId="18" xfId="0" applyBorder="1"/>
    <xf numFmtId="0" fontId="0" fillId="0" borderId="19" xfId="0" applyBorder="1"/>
    <xf numFmtId="0" fontId="0" fillId="0" borderId="15" xfId="0" applyBorder="1"/>
    <xf numFmtId="0" fontId="0" fillId="0" borderId="20" xfId="0" applyBorder="1"/>
    <xf numFmtId="0" fontId="23" fillId="12" borderId="0" xfId="0" applyFont="1" applyFill="1" applyAlignment="1">
      <alignment vertical="center"/>
    </xf>
    <xf numFmtId="0" fontId="35" fillId="24" borderId="0" xfId="0" applyFont="1" applyFill="1"/>
    <xf numFmtId="0" fontId="24" fillId="13" borderId="4" xfId="0" applyFont="1" applyFill="1" applyBorder="1" applyAlignment="1">
      <alignment wrapText="1"/>
    </xf>
  </cellXfs>
  <cellStyles count="1">
    <cellStyle name="Standard" xfId="0" builtinId="0"/>
  </cellStyles>
  <dxfs count="73">
    <dxf>
      <font>
        <b/>
        <color rgb="FF006100"/>
      </font>
      <fill>
        <patternFill>
          <bgColor rgb="FFE2F0D9"/>
        </patternFill>
      </fill>
    </dxf>
    <dxf>
      <font>
        <b/>
        <color rgb="FF7F6000"/>
      </font>
      <fill>
        <patternFill>
          <bgColor rgb="FFFFF2CC"/>
        </patternFill>
      </fill>
    </dxf>
    <dxf>
      <font>
        <b/>
        <color rgb="FF9C0006"/>
      </font>
      <fill>
        <patternFill>
          <bgColor rgb="FFF4CCCC"/>
        </patternFill>
      </fill>
    </dxf>
    <dxf>
      <font>
        <b/>
        <color rgb="FF006100"/>
      </font>
      <fill>
        <patternFill>
          <bgColor rgb="FFE2F0D9"/>
        </patternFill>
      </fill>
    </dxf>
    <dxf>
      <font>
        <b/>
        <color rgb="FF7F6000"/>
      </font>
      <fill>
        <patternFill>
          <bgColor rgb="FFFFF2CC"/>
        </patternFill>
      </fill>
    </dxf>
    <dxf>
      <font>
        <b/>
        <color rgb="FF9C0006"/>
      </font>
      <fill>
        <patternFill>
          <bgColor rgb="FFF4CCCC"/>
        </patternFill>
      </fill>
    </dxf>
    <dxf>
      <font>
        <b/>
        <color rgb="FF006100"/>
      </font>
      <fill>
        <patternFill>
          <bgColor rgb="FFE2F0D9"/>
        </patternFill>
      </fill>
    </dxf>
    <dxf>
      <font>
        <b/>
        <color rgb="FF7F6000"/>
      </font>
      <fill>
        <patternFill>
          <bgColor rgb="FFFFF2CC"/>
        </patternFill>
      </fill>
    </dxf>
    <dxf>
      <font>
        <b/>
        <color rgb="FF9C0006"/>
      </font>
      <fill>
        <patternFill>
          <bgColor rgb="FFF4CCCC"/>
        </patternFill>
      </fill>
    </dxf>
    <dxf>
      <font>
        <b/>
        <color rgb="FF9C0006"/>
      </font>
      <fill>
        <patternFill>
          <bgColor rgb="FFFFC7CE"/>
        </patternFill>
      </fill>
    </dxf>
    <dxf>
      <font>
        <b/>
        <color rgb="FF9C0006"/>
      </font>
      <fill>
        <patternFill>
          <bgColor rgb="FFFFC7CE"/>
        </patternFill>
      </fill>
    </dxf>
    <dxf>
      <font>
        <b/>
        <sz val="10"/>
        <color rgb="FF006100"/>
        <name val="Arial"/>
      </font>
      <fill>
        <patternFill>
          <bgColor rgb="FFC6EFCE"/>
        </patternFill>
      </fill>
    </dxf>
    <dxf>
      <font>
        <b/>
        <sz val="10"/>
        <color rgb="FF9C0006"/>
        <name val="Arial"/>
      </font>
      <fill>
        <patternFill>
          <bgColor rgb="FFFFC7CE"/>
        </patternFill>
      </fill>
    </dxf>
    <dxf>
      <font>
        <b/>
        <color rgb="FF006100"/>
      </font>
      <fill>
        <patternFill>
          <bgColor rgb="FFE2F0D9"/>
        </patternFill>
      </fill>
    </dxf>
    <dxf>
      <font>
        <b/>
        <color rgb="FF7F6000"/>
      </font>
      <fill>
        <patternFill>
          <bgColor rgb="FFFFF2CC"/>
        </patternFill>
      </fill>
    </dxf>
    <dxf>
      <font>
        <b/>
        <color rgb="FF9C0006"/>
      </font>
      <fill>
        <patternFill>
          <bgColor rgb="FFF4CCCC"/>
        </patternFill>
      </fill>
    </dxf>
    <dxf>
      <font>
        <b/>
        <color rgb="FF9C0006"/>
      </font>
      <fill>
        <patternFill>
          <bgColor rgb="FFFFC7CE"/>
        </patternFill>
      </fill>
    </dxf>
    <dxf>
      <font>
        <b/>
        <color rgb="FF9C0006"/>
      </font>
      <fill>
        <patternFill>
          <bgColor rgb="FFFFC7CE"/>
        </patternFill>
      </fill>
    </dxf>
    <dxf>
      <font>
        <b/>
        <color rgb="FF9C0006"/>
      </font>
      <fill>
        <patternFill>
          <bgColor rgb="FFFFC7CE"/>
        </patternFill>
      </fill>
    </dxf>
    <dxf>
      <font>
        <b/>
        <color rgb="FF006100"/>
      </font>
      <fill>
        <patternFill patternType="solid">
          <fgColor rgb="FFC6EFCE"/>
        </patternFill>
      </fill>
    </dxf>
    <dxf>
      <font>
        <b/>
        <color rgb="FF9C5700"/>
      </font>
      <fill>
        <patternFill patternType="solid">
          <fgColor rgb="FFFFEB9C"/>
        </patternFill>
      </fill>
    </dxf>
    <dxf>
      <font>
        <b/>
        <color rgb="FF9C0006"/>
      </font>
      <fill>
        <patternFill patternType="solid">
          <fgColor rgb="FFFFC7CE"/>
        </patternFill>
      </fill>
    </dxf>
    <dxf>
      <font>
        <b/>
        <color rgb="FF006100"/>
      </font>
      <fill>
        <patternFill>
          <bgColor rgb="FFE2F0D9"/>
        </patternFill>
      </fill>
    </dxf>
    <dxf>
      <font>
        <b/>
        <color rgb="FF7F6000"/>
      </font>
      <fill>
        <patternFill>
          <bgColor rgb="FFFFF2CC"/>
        </patternFill>
      </fill>
    </dxf>
    <dxf>
      <font>
        <b/>
        <color rgb="FF9C0006"/>
      </font>
      <fill>
        <patternFill>
          <bgColor rgb="FFF4CCCC"/>
        </patternFill>
      </fill>
    </dxf>
    <dxf>
      <font>
        <b/>
        <color rgb="FF9C0006"/>
      </font>
      <fill>
        <patternFill>
          <bgColor rgb="FFFFC7CE"/>
        </patternFill>
      </fill>
    </dxf>
    <dxf>
      <font>
        <b/>
        <color rgb="FF9C0006"/>
      </font>
      <fill>
        <patternFill>
          <bgColor rgb="FFFFC7CE"/>
        </patternFill>
      </fill>
    </dxf>
    <dxf>
      <font>
        <b/>
        <color rgb="FF9C0006"/>
      </font>
      <fill>
        <patternFill>
          <bgColor rgb="FFFFC7CE"/>
        </patternFill>
      </fill>
    </dxf>
    <dxf>
      <font>
        <color rgb="FF9C0006"/>
      </font>
      <fill>
        <patternFill>
          <bgColor rgb="FFFFC7CE"/>
        </patternFill>
      </fill>
    </dxf>
    <dxf>
      <font>
        <b/>
        <color rgb="FF006100"/>
      </font>
      <fill>
        <patternFill patternType="solid">
          <fgColor rgb="FFC6EFCE"/>
        </patternFill>
      </fill>
    </dxf>
    <dxf>
      <font>
        <b/>
        <color rgb="FF9C5700"/>
      </font>
      <fill>
        <patternFill patternType="solid">
          <fgColor rgb="FFFFEB9C"/>
        </patternFill>
      </fill>
    </dxf>
    <dxf>
      <font>
        <b/>
        <color rgb="FF9C0006"/>
      </font>
      <fill>
        <patternFill patternType="solid">
          <fgColor rgb="FFFFC7CE"/>
        </patternFill>
      </fill>
    </dxf>
    <dxf>
      <font>
        <b/>
        <color rgb="FF9C0006"/>
      </font>
      <fill>
        <patternFill>
          <bgColor rgb="FFFFC7CE"/>
        </patternFill>
      </fill>
    </dxf>
    <dxf>
      <font>
        <b/>
        <color rgb="FF006100"/>
      </font>
      <fill>
        <patternFill patternType="solid">
          <fgColor rgb="FFC6EFCE"/>
        </patternFill>
      </fill>
    </dxf>
    <dxf>
      <font>
        <b/>
        <color rgb="FF9C5700"/>
      </font>
      <fill>
        <patternFill patternType="solid">
          <fgColor rgb="FFFFEB9C"/>
        </patternFill>
      </fill>
    </dxf>
    <dxf>
      <font>
        <b/>
        <color rgb="FF9C0006"/>
      </font>
      <fill>
        <patternFill patternType="solid">
          <fgColor rgb="FFFFC7CE"/>
        </patternFill>
      </fill>
    </dxf>
    <dxf>
      <font>
        <b/>
        <color rgb="FF9C0006"/>
      </font>
      <fill>
        <patternFill>
          <bgColor rgb="FFFFC7CE"/>
        </patternFill>
      </fill>
    </dxf>
    <dxf>
      <font>
        <b/>
        <color rgb="FF006100"/>
      </font>
      <fill>
        <patternFill patternType="solid">
          <fgColor rgb="FFC6EFCE"/>
        </patternFill>
      </fill>
    </dxf>
    <dxf>
      <font>
        <b/>
        <color rgb="FF9C0006"/>
      </font>
      <fill>
        <patternFill patternType="solid">
          <fgColor rgb="FFFFC7CE"/>
        </patternFill>
      </fill>
    </dxf>
    <dxf>
      <font>
        <b/>
        <color rgb="FF9C5700"/>
      </font>
      <fill>
        <patternFill patternType="solid">
          <fgColor rgb="FFFFEB9C"/>
        </patternFill>
      </fill>
    </dxf>
    <dxf>
      <font>
        <b/>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E2F0D9"/>
        </patternFill>
      </fill>
    </dxf>
    <dxf>
      <font>
        <color rgb="FF7F6000"/>
      </font>
      <fill>
        <patternFill>
          <bgColor rgb="FFFFF2CC"/>
        </patternFill>
      </fill>
    </dxf>
    <dxf>
      <font>
        <color rgb="FF9C0006"/>
      </font>
      <fill>
        <patternFill>
          <bgColor rgb="FFF4CCCC"/>
        </patternFill>
      </fill>
    </dxf>
    <dxf>
      <font>
        <color rgb="FF006100"/>
      </font>
    </dxf>
    <dxf>
      <font>
        <color rgb="FF9C5700"/>
      </font>
    </dxf>
    <dxf>
      <font>
        <color rgb="FF9C0006"/>
      </font>
    </dxf>
    <dxf>
      <font>
        <color rgb="FF9C0006"/>
      </font>
      <fill>
        <patternFill>
          <bgColor rgb="FFFFC7CE"/>
        </patternFill>
      </fill>
    </dxf>
    <dxf>
      <font>
        <color rgb="FF9C0006"/>
      </font>
    </dxf>
    <dxf>
      <font>
        <color rgb="FF9C5700"/>
      </font>
    </dxf>
    <dxf>
      <font>
        <color rgb="FF006100"/>
      </font>
    </dxf>
    <dxf>
      <font>
        <color rgb="FF006100"/>
      </font>
    </dxf>
    <dxf>
      <font>
        <color rgb="FF9C5700"/>
      </font>
    </dxf>
    <dxf>
      <font>
        <color rgb="FF9C0006"/>
      </font>
    </dxf>
    <dxf>
      <font>
        <color rgb="FF9C0006"/>
      </font>
      <fill>
        <patternFill>
          <bgColor rgb="FFFFC7CE"/>
        </patternFill>
      </fill>
    </dxf>
    <dxf>
      <font>
        <color rgb="FF9C0006"/>
      </font>
      <fill>
        <patternFill>
          <bgColor rgb="FFFFC7CE"/>
        </patternFill>
      </fill>
    </dxf>
    <dxf>
      <font>
        <color rgb="FF006100"/>
      </font>
    </dxf>
    <dxf>
      <font>
        <color rgb="FF9C5700"/>
      </font>
    </dxf>
    <dxf>
      <font>
        <color rgb="FF9C0006"/>
      </font>
    </dxf>
    <dxf>
      <font>
        <color rgb="FF9C0006"/>
      </font>
      <fill>
        <patternFill>
          <bgColor rgb="FFFFC7CE"/>
        </patternFill>
      </fill>
    </dxf>
    <dxf>
      <font>
        <color rgb="FF006100"/>
      </font>
    </dxf>
    <dxf>
      <font>
        <color rgb="FF9C5700"/>
      </font>
    </dxf>
    <dxf>
      <font>
        <color rgb="FF9C0006"/>
      </font>
    </dxf>
    <dxf>
      <font>
        <color rgb="FF006100"/>
      </font>
      <fill>
        <patternFill>
          <bgColor rgb="FFE2F0D9"/>
        </patternFill>
      </fill>
    </dxf>
    <dxf>
      <font>
        <color rgb="FF7F6000"/>
      </font>
      <fill>
        <patternFill>
          <bgColor rgb="FFFFF2CC"/>
        </patternFill>
      </fill>
    </dxf>
    <dxf>
      <font>
        <color rgb="FF9C0006"/>
      </font>
      <fill>
        <patternFill>
          <bgColor rgb="FFF4CCCC"/>
        </patternFill>
      </fill>
    </dxf>
    <dxf>
      <font>
        <color rgb="FF9C0006"/>
      </font>
      <fill>
        <patternFill>
          <bgColor rgb="FFFFC7CE"/>
        </patternFill>
      </fill>
    </dxf>
    <dxf>
      <font>
        <color rgb="FF006100"/>
      </font>
    </dxf>
    <dxf>
      <font>
        <color rgb="FF9C5700"/>
      </font>
    </dxf>
    <dxf>
      <font>
        <color rgb="FF9C0006"/>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4C7DC"/>
      <rgbColor rgb="FF808080"/>
      <rgbColor rgb="FF729FCF"/>
      <rgbColor rgb="FF993366"/>
      <rgbColor rgb="FFF2F4F7"/>
      <rgbColor rgb="FFE2EFDA"/>
      <rgbColor rgb="FF660066"/>
      <rgbColor rgb="FFFF8080"/>
      <rgbColor rgb="FF2A6099"/>
      <rgbColor rgb="FFD9D9D9"/>
      <rgbColor rgb="FF000080"/>
      <rgbColor rgb="FFFF00FF"/>
      <rgbColor rgb="FFFFFF00"/>
      <rgbColor rgb="FF00FFFF"/>
      <rgbColor rgb="FF800080"/>
      <rgbColor rgb="FF800000"/>
      <rgbColor rgb="FF008080"/>
      <rgbColor rgb="FF0000FF"/>
      <rgbColor rgb="FF00CCFF"/>
      <rgbColor rgb="FFCCFFFF"/>
      <rgbColor rgb="FFC6EFCE"/>
      <rgbColor rgb="FFFFFF99"/>
      <rgbColor rgb="FFB3B3B3"/>
      <rgbColor rgb="FFFF99CC"/>
      <rgbColor rgb="FFCC99FF"/>
      <rgbColor rgb="FFFFC7CE"/>
      <rgbColor rgb="FF3366FF"/>
      <rgbColor rgb="FF33CCCC"/>
      <rgbColor rgb="FF99CC00"/>
      <rgbColor rgb="FFFFCC00"/>
      <rgbColor rgb="FFFF9900"/>
      <rgbColor rgb="FFFF6600"/>
      <rgbColor rgb="FF666699"/>
      <rgbColor rgb="FF9C9C9C"/>
      <rgbColor rgb="FF003366"/>
      <rgbColor rgb="FF339966"/>
      <rgbColor rgb="FF006100"/>
      <rgbColor rgb="FF375623"/>
      <rgbColor rgb="FF993300"/>
      <rgbColor rgb="FF993366"/>
      <rgbColor rgb="FF1F4E78"/>
      <rgbColor rgb="FF3B3B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r>
              <a:rPr lang="de-DE" sz="1800" b="1">
                <a:solidFill>
                  <a:srgbClr val="000000"/>
                </a:solidFill>
                <a:latin typeface="Calibri"/>
                <a:ea typeface="Calibri"/>
                <a:cs typeface="Calibri"/>
              </a:rPr>
              <a:t>Operativer Cash flow after Taxes (30 Years)</a:t>
            </a:r>
          </a:p>
        </c:rich>
      </c:tx>
      <c:overlay val="0"/>
    </c:title>
    <c:autoTitleDeleted val="0"/>
    <c:plotArea>
      <c:layout/>
      <c:barChart>
        <c:barDir val="col"/>
        <c:grouping val="clustered"/>
        <c:varyColors val="0"/>
        <c:ser>
          <c:idx val="0"/>
          <c:order val="0"/>
          <c:tx>
            <c:strRef>
              <c:f>'Property Calculator'!$A$112</c:f>
              <c:strCache>
                <c:ptCount val="1"/>
                <c:pt idx="0">
                  <c:v>8. Net cash flow after tax</c:v>
                </c:pt>
              </c:strCache>
            </c:strRef>
          </c:tx>
          <c:spPr>
            <a:solidFill>
              <a:srgbClr val="729FCF"/>
            </a:solidFill>
            <a:ln w="12600">
              <a:solidFill>
                <a:srgbClr val="729FCF"/>
              </a:solidFill>
              <a:prstDash val="solid"/>
            </a:ln>
          </c:spPr>
          <c:invertIfNegative val="0"/>
          <c:dLbls>
            <c:spPr>
              <a:noFill/>
              <a:ln>
                <a:noFill/>
                <a:prstDash val="solid"/>
              </a:ln>
            </c:spPr>
            <c:txPr>
              <a:bodyPr anchorCtr="1"/>
              <a:lstStyle/>
              <a:p>
                <a:pPr>
                  <a:defRPr sz="1000" b="0">
                    <a:solidFill>
                      <a:srgbClr val="000000"/>
                    </a:solidFill>
                    <a:latin typeface="Arial"/>
                    <a:ea typeface="Arial"/>
                    <a:cs typeface="Arial"/>
                  </a:defRPr>
                </a:pPr>
                <a:endParaRPr lang="de-DE"/>
              </a:p>
            </c:txPr>
            <c:dLblPos val="outEnd"/>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'Property Calculator'!$B$104:$AE$104</c:f>
              <c:strCache>
                <c:ptCount val="3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pt idx="20">
                  <c:v>Year 21</c:v>
                </c:pt>
                <c:pt idx="21">
                  <c:v>Year 22</c:v>
                </c:pt>
                <c:pt idx="22">
                  <c:v>Year 23</c:v>
                </c:pt>
                <c:pt idx="23">
                  <c:v>Year 24</c:v>
                </c:pt>
                <c:pt idx="24">
                  <c:v>Year 25</c:v>
                </c:pt>
                <c:pt idx="25">
                  <c:v>Year 26</c:v>
                </c:pt>
                <c:pt idx="26">
                  <c:v>Year 27</c:v>
                </c:pt>
                <c:pt idx="27">
                  <c:v>Year 28</c:v>
                </c:pt>
                <c:pt idx="28">
                  <c:v>Year 29</c:v>
                </c:pt>
                <c:pt idx="29">
                  <c:v>Year 30</c:v>
                </c:pt>
              </c:strCache>
            </c:strRef>
          </c:cat>
          <c:val>
            <c:numRef>
              <c:f>'Property Calculator'!$B$112:$AE$112</c:f>
              <c:numCache>
                <c:formatCode>#,##0\ "€";[Red]\-#,##0\ "€";\–</c:formatCode>
                <c:ptCount val="30"/>
                <c:pt idx="0">
                  <c:v>1140.028111798556</c:v>
                </c:pt>
                <c:pt idx="1">
                  <c:v>-5167.6182257441687</c:v>
                </c:pt>
                <c:pt idx="2">
                  <c:v>-8068.4924835606043</c:v>
                </c:pt>
                <c:pt idx="3">
                  <c:v>-5171.0833120510306</c:v>
                </c:pt>
                <c:pt idx="4">
                  <c:v>-6425.4830710381102</c:v>
                </c:pt>
                <c:pt idx="5">
                  <c:v>-5181.787971362528</c:v>
                </c:pt>
                <c:pt idx="6">
                  <c:v>-5190.0982216713564</c:v>
                </c:pt>
                <c:pt idx="7">
                  <c:v>-5200.5181805861175</c:v>
                </c:pt>
                <c:pt idx="8">
                  <c:v>-5213.1565144440528</c:v>
                </c:pt>
                <c:pt idx="9">
                  <c:v>-5228.1263608131194</c:v>
                </c:pt>
                <c:pt idx="10">
                  <c:v>-5245.5454979883343</c:v>
                </c:pt>
                <c:pt idx="11">
                  <c:v>-5265.5365206845136</c:v>
                </c:pt>
                <c:pt idx="12">
                  <c:v>-5288.2270221481149</c:v>
                </c:pt>
                <c:pt idx="13">
                  <c:v>-5313.7497829188242</c:v>
                </c:pt>
                <c:pt idx="14">
                  <c:v>-5342.2429664797774</c:v>
                </c:pt>
                <c:pt idx="15">
                  <c:v>-5373.8503220437924</c:v>
                </c:pt>
                <c:pt idx="16">
                  <c:v>-5408.7213947318287</c:v>
                </c:pt>
                <c:pt idx="17">
                  <c:v>-5447.0117434090189</c:v>
                </c:pt>
                <c:pt idx="18">
                  <c:v>-5488.8831664530608</c:v>
                </c:pt>
                <c:pt idx="19">
                  <c:v>-5534.5039357395744</c:v>
                </c:pt>
                <c:pt idx="20">
                  <c:v>-5584.0490391391404</c:v>
                </c:pt>
                <c:pt idx="21">
                  <c:v>-5637.7004318312538</c:v>
                </c:pt>
                <c:pt idx="22">
                  <c:v>-5695.6472967513091</c:v>
                </c:pt>
                <c:pt idx="23">
                  <c:v>-5758.0863144979867</c:v>
                </c:pt>
                <c:pt idx="24">
                  <c:v>-5825.2219430400237</c:v>
                </c:pt>
                <c:pt idx="25">
                  <c:v>-5897.266707573539</c:v>
                </c:pt>
                <c:pt idx="26">
                  <c:v>-5974.4415008934429</c:v>
                </c:pt>
                <c:pt idx="27">
                  <c:v>-6056.9758946555412</c:v>
                </c:pt>
                <c:pt idx="28">
                  <c:v>-6145.1084619192534</c:v>
                </c:pt>
                <c:pt idx="29">
                  <c:v>-6239.0871113746898</c:v>
                </c:pt>
              </c:numCache>
            </c:numRef>
          </c:val>
          <c:extLst>
            <c:ext xmlns:c16="http://schemas.microsoft.com/office/drawing/2014/chart" uri="{C3380CC4-5D6E-409C-BE32-E72D297353CC}">
              <c16:uniqueId val="{00000000-89C0-490B-9BB9-162BCF9C297B}"/>
            </c:ext>
          </c:extLst>
        </c:ser>
        <c:dLbls>
          <c:showLegendKey val="0"/>
          <c:showVal val="0"/>
          <c:showCatName val="0"/>
          <c:showSerName val="0"/>
          <c:showPercent val="0"/>
          <c:showBubbleSize val="0"/>
        </c:dLbls>
        <c:gapWidth val="150"/>
        <c:axId val="11948693"/>
        <c:axId val="37989764"/>
      </c:barChart>
      <c:catAx>
        <c:axId val="11948693"/>
        <c:scaling>
          <c:orientation val="minMax"/>
        </c:scaling>
        <c:delete val="0"/>
        <c:axPos val="b"/>
        <c:numFmt formatCode="General"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37989764"/>
        <c:crosses val="autoZero"/>
        <c:auto val="1"/>
        <c:lblAlgn val="ctr"/>
        <c:lblOffset val="100"/>
        <c:noMultiLvlLbl val="1"/>
      </c:catAx>
      <c:valAx>
        <c:axId val="37989764"/>
        <c:scaling>
          <c:orientation val="minMax"/>
        </c:scaling>
        <c:delete val="0"/>
        <c:axPos val="l"/>
        <c:numFmt formatCode="#,##0\ &quot;€&quot;"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11948693"/>
        <c:crosses val="autoZero"/>
        <c:crossBetween val="between"/>
      </c:valAx>
    </c:plotArea>
    <c:plotVisOnly val="1"/>
    <c:dispBlanksAs val="zero"/>
    <c:showDLblsOverMax val="1"/>
  </c:chart>
  <c:spPr>
    <a:solidFill>
      <a:srgbClr val="FFFFFF"/>
    </a:solidFill>
    <a:ln w="9360">
      <a:solidFill>
        <a:srgbClr val="D9D9D9"/>
      </a:solidFill>
      <a:prstDash val="solid"/>
    </a:ln>
  </c:sp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r>
              <a:rPr lang="de-DE" sz="1800" b="1">
                <a:solidFill>
                  <a:srgbClr val="000000"/>
                </a:solidFill>
                <a:latin typeface="Calibri"/>
                <a:ea typeface="Calibri"/>
                <a:cs typeface="Calibri"/>
              </a:rPr>
              <a:t>Kumulierter operativer Cash flow: nominal vs. real</a:t>
            </a:r>
          </a:p>
        </c:rich>
      </c:tx>
      <c:layout>
        <c:manualLayout>
          <c:xMode val="edge"/>
          <c:yMode val="edge"/>
          <c:x val="9.2854653189264558E-2"/>
          <c:y val="2.7272113726861651E-2"/>
        </c:manualLayout>
      </c:layout>
      <c:overlay val="0"/>
    </c:title>
    <c:autoTitleDeleted val="0"/>
    <c:plotArea>
      <c:layout/>
      <c:lineChart>
        <c:grouping val="standard"/>
        <c:varyColors val="0"/>
        <c:ser>
          <c:idx val="0"/>
          <c:order val="0"/>
          <c:tx>
            <c:strRef>
              <c:f>'Real Value Analysis'!$A$15</c:f>
              <c:strCache>
                <c:ptCount val="1"/>
                <c:pt idx="0">
                  <c:v>Cumulative nominal net cash flow</c:v>
                </c:pt>
              </c:strCache>
            </c:strRef>
          </c:tx>
          <c:spPr>
            <a:ln w="28080">
              <a:solidFill>
                <a:srgbClr val="1F4E78"/>
              </a:solidFill>
              <a:prstDash val="solid"/>
            </a:ln>
          </c:spPr>
          <c:marker>
            <c:symbol val="none"/>
          </c:marker>
          <c:dLbls>
            <c:spPr>
              <a:noFill/>
              <a:ln>
                <a:noFill/>
                <a:prstDash val="solid"/>
              </a:ln>
            </c:spPr>
            <c:txPr>
              <a:bodyPr anchorCtr="1"/>
              <a:lstStyle/>
              <a:p>
                <a:pPr>
                  <a:defRPr sz="1000" b="0">
                    <a:solidFill>
                      <a:srgbClr val="000000"/>
                    </a:solidFill>
                    <a:latin typeface="Arial"/>
                    <a:ea typeface="Arial"/>
                    <a:cs typeface="Arial"/>
                  </a:defRPr>
                </a:pPr>
                <a:endParaRPr lang="de-D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'Real Value Analysis'!$B$6:$AE$6</c:f>
              <c:strCache>
                <c:ptCount val="3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pt idx="20">
                  <c:v>Year 21</c:v>
                </c:pt>
                <c:pt idx="21">
                  <c:v>Year 22</c:v>
                </c:pt>
                <c:pt idx="22">
                  <c:v>Year 23</c:v>
                </c:pt>
                <c:pt idx="23">
                  <c:v>Year 24</c:v>
                </c:pt>
                <c:pt idx="24">
                  <c:v>Year 25</c:v>
                </c:pt>
                <c:pt idx="25">
                  <c:v>Year 26</c:v>
                </c:pt>
                <c:pt idx="26">
                  <c:v>Year 27</c:v>
                </c:pt>
                <c:pt idx="27">
                  <c:v>Year 28</c:v>
                </c:pt>
                <c:pt idx="28">
                  <c:v>Year 29</c:v>
                </c:pt>
                <c:pt idx="29">
                  <c:v>Year 30</c:v>
                </c:pt>
              </c:strCache>
            </c:strRef>
          </c:cat>
          <c:val>
            <c:numRef>
              <c:f>'Real Value Analysis'!$B$15:$AE$15</c:f>
              <c:numCache>
                <c:formatCode>#,##0" €"</c:formatCode>
                <c:ptCount val="30"/>
                <c:pt idx="0">
                  <c:v>1140.028111798556</c:v>
                </c:pt>
                <c:pt idx="1">
                  <c:v>-4027.5901139456128</c:v>
                </c:pt>
                <c:pt idx="2">
                  <c:v>-12096.082597506218</c:v>
                </c:pt>
                <c:pt idx="3">
                  <c:v>-17267.165909557247</c:v>
                </c:pt>
                <c:pt idx="4">
                  <c:v>-23692.648980595357</c:v>
                </c:pt>
                <c:pt idx="5">
                  <c:v>-28874.436951957883</c:v>
                </c:pt>
                <c:pt idx="6">
                  <c:v>-34064.535173629236</c:v>
                </c:pt>
                <c:pt idx="7">
                  <c:v>-39265.053354215357</c:v>
                </c:pt>
                <c:pt idx="8">
                  <c:v>-44478.209868659411</c:v>
                </c:pt>
                <c:pt idx="9">
                  <c:v>-49706.33622947253</c:v>
                </c:pt>
                <c:pt idx="10">
                  <c:v>-54951.881727460866</c:v>
                </c:pt>
                <c:pt idx="11">
                  <c:v>-60217.418248145383</c:v>
                </c:pt>
                <c:pt idx="12">
                  <c:v>-65505.645270293498</c:v>
                </c:pt>
                <c:pt idx="13">
                  <c:v>-70819.395053212327</c:v>
                </c:pt>
                <c:pt idx="14">
                  <c:v>-76161.638019692109</c:v>
                </c:pt>
                <c:pt idx="15">
                  <c:v>-81535.488341735909</c:v>
                </c:pt>
                <c:pt idx="16">
                  <c:v>-86944.209736467732</c:v>
                </c:pt>
                <c:pt idx="17">
                  <c:v>-92391.221479876753</c:v>
                </c:pt>
                <c:pt idx="18">
                  <c:v>-97880.104646329812</c:v>
                </c:pt>
                <c:pt idx="19">
                  <c:v>-103414.60858206938</c:v>
                </c:pt>
                <c:pt idx="20">
                  <c:v>-108998.65762120852</c:v>
                </c:pt>
                <c:pt idx="21">
                  <c:v>-114636.35805303977</c:v>
                </c:pt>
                <c:pt idx="22">
                  <c:v>-120332.00534979108</c:v>
                </c:pt>
                <c:pt idx="23">
                  <c:v>-126090.09166428907</c:v>
                </c:pt>
                <c:pt idx="24">
                  <c:v>-131915.3136073291</c:v>
                </c:pt>
                <c:pt idx="25">
                  <c:v>-137812.58031490265</c:v>
                </c:pt>
                <c:pt idx="26">
                  <c:v>-143787.02181579609</c:v>
                </c:pt>
                <c:pt idx="27">
                  <c:v>-149843.99771045163</c:v>
                </c:pt>
                <c:pt idx="28">
                  <c:v>-155989.10617237087</c:v>
                </c:pt>
                <c:pt idx="29">
                  <c:v>-162228.19328374555</c:v>
                </c:pt>
              </c:numCache>
            </c:numRef>
          </c:val>
          <c:smooth val="0"/>
          <c:extLst>
            <c:ext xmlns:c16="http://schemas.microsoft.com/office/drawing/2014/chart" uri="{C3380CC4-5D6E-409C-BE32-E72D297353CC}">
              <c16:uniqueId val="{00000000-59B0-40E0-82FC-D50301B5653C}"/>
            </c:ext>
          </c:extLst>
        </c:ser>
        <c:ser>
          <c:idx val="1"/>
          <c:order val="1"/>
          <c:tx>
            <c:strRef>
              <c:f>'Real Value Analysis'!$A$14</c:f>
              <c:strCache>
                <c:ptCount val="1"/>
                <c:pt idx="0">
                  <c:v>Cumulative real net cash flow</c:v>
                </c:pt>
              </c:strCache>
            </c:strRef>
          </c:tx>
          <c:spPr>
            <a:ln w="28080">
              <a:solidFill>
                <a:srgbClr val="9C9C9C"/>
              </a:solidFill>
              <a:prstDash val="solid"/>
            </a:ln>
          </c:spPr>
          <c:marker>
            <c:symbol val="none"/>
          </c:marker>
          <c:dLbls>
            <c:spPr>
              <a:noFill/>
              <a:ln>
                <a:noFill/>
                <a:prstDash val="solid"/>
              </a:ln>
            </c:spPr>
            <c:txPr>
              <a:bodyPr anchorCtr="1"/>
              <a:lstStyle/>
              <a:p>
                <a:pPr>
                  <a:defRPr sz="1000" b="0">
                    <a:solidFill>
                      <a:srgbClr val="000000"/>
                    </a:solidFill>
                    <a:latin typeface="Arial"/>
                    <a:ea typeface="Arial"/>
                    <a:cs typeface="Arial"/>
                  </a:defRPr>
                </a:pPr>
                <a:endParaRPr lang="de-D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'Real Value Analysis'!$B$6:$AE$6</c:f>
              <c:strCache>
                <c:ptCount val="3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pt idx="20">
                  <c:v>Year 21</c:v>
                </c:pt>
                <c:pt idx="21">
                  <c:v>Year 22</c:v>
                </c:pt>
                <c:pt idx="22">
                  <c:v>Year 23</c:v>
                </c:pt>
                <c:pt idx="23">
                  <c:v>Year 24</c:v>
                </c:pt>
                <c:pt idx="24">
                  <c:v>Year 25</c:v>
                </c:pt>
                <c:pt idx="25">
                  <c:v>Year 26</c:v>
                </c:pt>
                <c:pt idx="26">
                  <c:v>Year 27</c:v>
                </c:pt>
                <c:pt idx="27">
                  <c:v>Year 28</c:v>
                </c:pt>
                <c:pt idx="28">
                  <c:v>Year 29</c:v>
                </c:pt>
                <c:pt idx="29">
                  <c:v>Year 30</c:v>
                </c:pt>
              </c:strCache>
            </c:strRef>
          </c:cat>
          <c:val>
            <c:numRef>
              <c:f>'Real Value Analysis'!$B$14:$AE$14</c:f>
              <c:numCache>
                <c:formatCode>#,##0" €"</c:formatCode>
                <c:ptCount val="30"/>
                <c:pt idx="0">
                  <c:v>1112.2225480961522</c:v>
                </c:pt>
                <c:pt idx="1">
                  <c:v>-3806.3908731951442</c:v>
                </c:pt>
                <c:pt idx="2">
                  <c:v>-11298.788240439942</c:v>
                </c:pt>
                <c:pt idx="3">
                  <c:v>-15983.534501305827</c:v>
                </c:pt>
                <c:pt idx="4">
                  <c:v>-21662.725263605229</c:v>
                </c:pt>
                <c:pt idx="5">
                  <c:v>-26130.964791382976</c:v>
                </c:pt>
                <c:pt idx="6">
                  <c:v>-30497.213991943365</c:v>
                </c:pt>
                <c:pt idx="7">
                  <c:v>-34765.52145511056</c:v>
                </c:pt>
                <c:pt idx="8">
                  <c:v>-38939.843730566063</c:v>
                </c:pt>
                <c:pt idx="9">
                  <c:v>-43024.047687653416</c:v>
                </c:pt>
                <c:pt idx="10">
                  <c:v>-47021.91281858812</c:v>
                </c:pt>
                <c:pt idx="11">
                  <c:v>-50937.133486464088</c:v>
                </c:pt>
                <c:pt idx="12">
                  <c:v>-54773.321119414191</c:v>
                </c:pt>
                <c:pt idx="13">
                  <c:v>-58534.006352249431</c:v>
                </c:pt>
                <c:pt idx="14">
                  <c:v>-62222.641116869047</c:v>
                </c:pt>
                <c:pt idx="15">
                  <c:v>-65842.600682702541</c:v>
                </c:pt>
                <c:pt idx="16">
                  <c:v>-69397.185648413855</c:v>
                </c:pt>
                <c:pt idx="17">
                  <c:v>-72889.623886068119</c:v>
                </c:pt>
                <c:pt idx="18">
                  <c:v>-76323.072438932228</c:v>
                </c:pt>
                <c:pt idx="19">
                  <c:v>-79700.619374051923</c:v>
                </c:pt>
                <c:pt idx="20">
                  <c:v>-83025.285590720596</c:v>
                </c:pt>
                <c:pt idx="21">
                  <c:v>-86300.026585927539</c:v>
                </c:pt>
                <c:pt idx="22">
                  <c:v>-89527.734177847349</c:v>
                </c:pt>
                <c:pt idx="23">
                  <c:v>-92711.238188406176</c:v>
                </c:pt>
                <c:pt idx="24">
                  <c:v>-95853.308085935409</c:v>
                </c:pt>
                <c:pt idx="25">
                  <c:v>-98956.654588899022</c:v>
                </c:pt>
                <c:pt idx="26">
                  <c:v>-102023.93123165658</c:v>
                </c:pt>
                <c:pt idx="27">
                  <c:v>-105057.73589320085</c:v>
                </c:pt>
                <c:pt idx="28">
                  <c:v>-108060.61228978614</c:v>
                </c:pt>
                <c:pt idx="29">
                  <c:v>-111035.05143234089</c:v>
                </c:pt>
              </c:numCache>
            </c:numRef>
          </c:val>
          <c:smooth val="0"/>
          <c:extLst>
            <c:ext xmlns:c16="http://schemas.microsoft.com/office/drawing/2014/chart" uri="{C3380CC4-5D6E-409C-BE32-E72D297353CC}">
              <c16:uniqueId val="{00000001-59B0-40E0-82FC-D50301B5653C}"/>
            </c:ext>
          </c:extLst>
        </c:ser>
        <c:dLbls>
          <c:showLegendKey val="0"/>
          <c:showVal val="0"/>
          <c:showCatName val="0"/>
          <c:showSerName val="0"/>
          <c:showPercent val="0"/>
          <c:showBubbleSize val="0"/>
        </c:dLbls>
        <c:smooth val="0"/>
        <c:axId val="4443852"/>
        <c:axId val="91947525"/>
      </c:lineChart>
      <c:catAx>
        <c:axId val="4443852"/>
        <c:scaling>
          <c:orientation val="minMax"/>
        </c:scaling>
        <c:delete val="0"/>
        <c:axPos val="b"/>
        <c:numFmt formatCode="General"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91947525"/>
        <c:crosses val="autoZero"/>
        <c:auto val="1"/>
        <c:lblAlgn val="ctr"/>
        <c:lblOffset val="100"/>
        <c:noMultiLvlLbl val="1"/>
      </c:catAx>
      <c:valAx>
        <c:axId val="91947525"/>
        <c:scaling>
          <c:orientation val="minMax"/>
        </c:scaling>
        <c:delete val="0"/>
        <c:axPos val="l"/>
        <c:numFmt formatCode="#,##0\ &quot;€&quot;"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4443852"/>
        <c:crosses val="autoZero"/>
        <c:crossBetween val="between"/>
      </c:valAx>
    </c:plotArea>
    <c:legend>
      <c:legendPos val="b"/>
      <c:overlay val="0"/>
      <c:spPr>
        <a:noFill/>
        <a:ln>
          <a:prstDash val="solid"/>
        </a:ln>
      </c:spPr>
      <c:txPr>
        <a:bodyPr anchorCtr="1"/>
        <a:lstStyle/>
        <a:p>
          <a:pPr>
            <a:defRPr sz="1000" b="0">
              <a:solidFill>
                <a:srgbClr val="000000"/>
              </a:solidFill>
              <a:latin typeface="Calibri"/>
              <a:ea typeface="Calibri"/>
              <a:cs typeface="Calibri"/>
            </a:defRPr>
          </a:pPr>
          <a:endParaRPr lang="de-DE"/>
        </a:p>
      </c:txPr>
    </c:legend>
    <c:plotVisOnly val="1"/>
    <c:dispBlanksAs val="zero"/>
    <c:showDLblsOverMax val="1"/>
  </c:chart>
  <c:spPr>
    <a:solidFill>
      <a:srgbClr val="FFFFFF"/>
    </a:solidFill>
    <a:ln w="9360">
      <a:solidFill>
        <a:srgbClr val="D9D9D9"/>
      </a:solidFill>
      <a:prstDash val="solid"/>
    </a:ln>
  </c:sp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r>
              <a:rPr lang="de-DE" sz="1800" b="1">
                <a:solidFill>
                  <a:srgbClr val="000000"/>
                </a:solidFill>
                <a:latin typeface="Calibri"/>
                <a:ea typeface="Calibri"/>
                <a:cs typeface="Calibri"/>
              </a:rPr>
              <a:t>Remaining balance-Verlauf (30 Years)</a:t>
            </a:r>
          </a:p>
        </c:rich>
      </c:tx>
      <c:overlay val="0"/>
    </c:title>
    <c:autoTitleDeleted val="0"/>
    <c:plotArea>
      <c:layout/>
      <c:lineChart>
        <c:grouping val="standard"/>
        <c:varyColors val="0"/>
        <c:ser>
          <c:idx val="0"/>
          <c:order val="0"/>
          <c:tx>
            <c:strRef>
              <c:f>'Property Calculator'!$A$113</c:f>
              <c:strCache>
                <c:ptCount val="1"/>
                <c:pt idx="0">
                  <c:v>9. Year-end remaining balance (monthly schedule)</c:v>
                </c:pt>
              </c:strCache>
            </c:strRef>
          </c:tx>
          <c:spPr>
            <a:ln w="28080">
              <a:solidFill>
                <a:srgbClr val="1F4E78"/>
              </a:solidFill>
              <a:prstDash val="solid"/>
            </a:ln>
          </c:spPr>
          <c:marker>
            <c:symbol val="none"/>
          </c:marker>
          <c:dLbls>
            <c:spPr>
              <a:noFill/>
              <a:ln>
                <a:noFill/>
                <a:prstDash val="solid"/>
              </a:ln>
            </c:spPr>
            <c:txPr>
              <a:bodyPr anchorCtr="1"/>
              <a:lstStyle/>
              <a:p>
                <a:pPr>
                  <a:defRPr sz="1000" b="0">
                    <a:solidFill>
                      <a:srgbClr val="000000"/>
                    </a:solidFill>
                    <a:latin typeface="Arial"/>
                    <a:ea typeface="Arial"/>
                    <a:cs typeface="Arial"/>
                  </a:defRPr>
                </a:pPr>
                <a:endParaRPr lang="de-D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'Property Calculator'!$B$104:$AE$104</c:f>
              <c:strCache>
                <c:ptCount val="3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pt idx="20">
                  <c:v>Year 21</c:v>
                </c:pt>
                <c:pt idx="21">
                  <c:v>Year 22</c:v>
                </c:pt>
                <c:pt idx="22">
                  <c:v>Year 23</c:v>
                </c:pt>
                <c:pt idx="23">
                  <c:v>Year 24</c:v>
                </c:pt>
                <c:pt idx="24">
                  <c:v>Year 25</c:v>
                </c:pt>
                <c:pt idx="25">
                  <c:v>Year 26</c:v>
                </c:pt>
                <c:pt idx="26">
                  <c:v>Year 27</c:v>
                </c:pt>
                <c:pt idx="27">
                  <c:v>Year 28</c:v>
                </c:pt>
                <c:pt idx="28">
                  <c:v>Year 29</c:v>
                </c:pt>
                <c:pt idx="29">
                  <c:v>Year 30</c:v>
                </c:pt>
              </c:strCache>
            </c:strRef>
          </c:cat>
          <c:val>
            <c:numRef>
              <c:f>'Property Calculator'!$B$113:$AE$113</c:f>
              <c:numCache>
                <c:formatCode>#,##0\ "€";[Red]\-#,##0\ "€";\–</c:formatCode>
                <c:ptCount val="30"/>
                <c:pt idx="0">
                  <c:v>312333.6328338203</c:v>
                </c:pt>
                <c:pt idx="1">
                  <c:v>306004.90295920556</c:v>
                </c:pt>
                <c:pt idx="2">
                  <c:v>299451.07944693259</c:v>
                </c:pt>
                <c:pt idx="3">
                  <c:v>292664.15640218242</c:v>
                </c:pt>
                <c:pt idx="4">
                  <c:v>285635.84318485169</c:v>
                </c:pt>
                <c:pt idx="5">
                  <c:v>278357.55428203067</c:v>
                </c:pt>
                <c:pt idx="6">
                  <c:v>270820.39882027579</c:v>
                </c:pt>
                <c:pt idx="7">
                  <c:v>263015.16970486619</c:v>
                </c:pt>
                <c:pt idx="8">
                  <c:v>254932.33237277635</c:v>
                </c:pt>
                <c:pt idx="9">
                  <c:v>246562.01314562609</c:v>
                </c:pt>
                <c:pt idx="10">
                  <c:v>237893.98716838105</c:v>
                </c:pt>
                <c:pt idx="11">
                  <c:v>228917.66591906891</c:v>
                </c:pt>
                <c:pt idx="12">
                  <c:v>219622.08427425459</c:v>
                </c:pt>
                <c:pt idx="13">
                  <c:v>209995.88711447373</c:v>
                </c:pt>
                <c:pt idx="14">
                  <c:v>200027.31545326227</c:v>
                </c:pt>
                <c:pt idx="15">
                  <c:v>189704.19207283793</c:v>
                </c:pt>
                <c:pt idx="16">
                  <c:v>179013.90664888662</c:v>
                </c:pt>
                <c:pt idx="17">
                  <c:v>167943.40034628264</c:v>
                </c:pt>
                <c:pt idx="18">
                  <c:v>156479.14986692596</c:v>
                </c:pt>
                <c:pt idx="19">
                  <c:v>144607.15093020906</c:v>
                </c:pt>
                <c:pt idx="20">
                  <c:v>132312.90116593539</c:v>
                </c:pt>
                <c:pt idx="21">
                  <c:v>119581.38239878978</c:v>
                </c:pt>
                <c:pt idx="22">
                  <c:v>106397.04230272236</c:v>
                </c:pt>
                <c:pt idx="23">
                  <c:v>92743.77540283445</c:v>
                </c:pt>
                <c:pt idx="24">
                  <c:v>78604.903401559452</c:v>
                </c:pt>
                <c:pt idx="25">
                  <c:v>63963.154805106002</c:v>
                </c:pt>
                <c:pt idx="26">
                  <c:v>48800.643825275765</c:v>
                </c:pt>
                <c:pt idx="27">
                  <c:v>33098.848530883144</c:v>
                </c:pt>
                <c:pt idx="28">
                  <c:v>16838.588222087601</c:v>
                </c:pt>
                <c:pt idx="29">
                  <c:v>0</c:v>
                </c:pt>
              </c:numCache>
            </c:numRef>
          </c:val>
          <c:smooth val="0"/>
          <c:extLst>
            <c:ext xmlns:c16="http://schemas.microsoft.com/office/drawing/2014/chart" uri="{C3380CC4-5D6E-409C-BE32-E72D297353CC}">
              <c16:uniqueId val="{00000000-CAD5-4677-B8C2-B95969A1E95A}"/>
            </c:ext>
          </c:extLst>
        </c:ser>
        <c:dLbls>
          <c:showLegendKey val="0"/>
          <c:showVal val="0"/>
          <c:showCatName val="0"/>
          <c:showSerName val="0"/>
          <c:showPercent val="0"/>
          <c:showBubbleSize val="0"/>
        </c:dLbls>
        <c:smooth val="0"/>
        <c:axId val="3827268"/>
        <c:axId val="48998973"/>
      </c:lineChart>
      <c:catAx>
        <c:axId val="3827268"/>
        <c:scaling>
          <c:orientation val="minMax"/>
        </c:scaling>
        <c:delete val="0"/>
        <c:axPos val="b"/>
        <c:numFmt formatCode="General"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48998973"/>
        <c:crosses val="autoZero"/>
        <c:auto val="1"/>
        <c:lblAlgn val="ctr"/>
        <c:lblOffset val="100"/>
        <c:noMultiLvlLbl val="1"/>
      </c:catAx>
      <c:valAx>
        <c:axId val="48998973"/>
        <c:scaling>
          <c:orientation val="minMax"/>
        </c:scaling>
        <c:delete val="0"/>
        <c:axPos val="l"/>
        <c:numFmt formatCode="#,##0\ &quot;€&quot;"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3827268"/>
        <c:crosses val="autoZero"/>
        <c:crossBetween val="between"/>
      </c:valAx>
    </c:plotArea>
    <c:plotVisOnly val="1"/>
    <c:dispBlanksAs val="zero"/>
    <c:showDLblsOverMax val="1"/>
  </c:chart>
  <c:spPr>
    <a:solidFill>
      <a:srgbClr val="FFFFFF"/>
    </a:solidFill>
    <a:ln w="9360">
      <a:solidFill>
        <a:srgbClr val="D9D9D9"/>
      </a:solidFill>
      <a:prstDash val="solid"/>
    </a:ln>
  </c:sp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r>
              <a:rPr lang="de-DE" sz="1800" b="1">
                <a:solidFill>
                  <a:srgbClr val="000000"/>
                </a:solidFill>
                <a:latin typeface="Calibri"/>
                <a:ea typeface="Calibri"/>
                <a:cs typeface="Calibri"/>
              </a:rPr>
              <a:t>Kumulierter Cash flow: nominal vs. real (30 Years)</a:t>
            </a:r>
          </a:p>
        </c:rich>
      </c:tx>
      <c:overlay val="0"/>
    </c:title>
    <c:autoTitleDeleted val="0"/>
    <c:plotArea>
      <c:layout/>
      <c:lineChart>
        <c:grouping val="standard"/>
        <c:varyColors val="0"/>
        <c:ser>
          <c:idx val="0"/>
          <c:order val="0"/>
          <c:tx>
            <c:strRef>
              <c:f>'Real Value Analysis'!$A$15</c:f>
              <c:strCache>
                <c:ptCount val="1"/>
                <c:pt idx="0">
                  <c:v>Cumulative nominal net cash flow</c:v>
                </c:pt>
              </c:strCache>
            </c:strRef>
          </c:tx>
          <c:spPr>
            <a:ln w="28080">
              <a:solidFill>
                <a:srgbClr val="1F4E78"/>
              </a:solidFill>
              <a:prstDash val="solid"/>
            </a:ln>
          </c:spPr>
          <c:marker>
            <c:symbol val="none"/>
          </c:marker>
          <c:dLbls>
            <c:spPr>
              <a:noFill/>
              <a:ln>
                <a:noFill/>
                <a:prstDash val="solid"/>
              </a:ln>
            </c:spPr>
            <c:txPr>
              <a:bodyPr anchorCtr="1"/>
              <a:lstStyle/>
              <a:p>
                <a:pPr>
                  <a:defRPr sz="1000" b="0">
                    <a:solidFill>
                      <a:srgbClr val="000000"/>
                    </a:solidFill>
                    <a:latin typeface="Arial"/>
                    <a:ea typeface="Arial"/>
                    <a:cs typeface="Arial"/>
                  </a:defRPr>
                </a:pPr>
                <a:endParaRPr lang="de-D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'Real Value Analysis'!$B$6:$AE$6</c:f>
              <c:strCache>
                <c:ptCount val="3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pt idx="20">
                  <c:v>Year 21</c:v>
                </c:pt>
                <c:pt idx="21">
                  <c:v>Year 22</c:v>
                </c:pt>
                <c:pt idx="22">
                  <c:v>Year 23</c:v>
                </c:pt>
                <c:pt idx="23">
                  <c:v>Year 24</c:v>
                </c:pt>
                <c:pt idx="24">
                  <c:v>Year 25</c:v>
                </c:pt>
                <c:pt idx="25">
                  <c:v>Year 26</c:v>
                </c:pt>
                <c:pt idx="26">
                  <c:v>Year 27</c:v>
                </c:pt>
                <c:pt idx="27">
                  <c:v>Year 28</c:v>
                </c:pt>
                <c:pt idx="28">
                  <c:v>Year 29</c:v>
                </c:pt>
                <c:pt idx="29">
                  <c:v>Year 30</c:v>
                </c:pt>
              </c:strCache>
            </c:strRef>
          </c:cat>
          <c:val>
            <c:numRef>
              <c:f>'Real Value Analysis'!$B$15:$AE$15</c:f>
              <c:numCache>
                <c:formatCode>#,##0" €"</c:formatCode>
                <c:ptCount val="30"/>
                <c:pt idx="0">
                  <c:v>1140.028111798556</c:v>
                </c:pt>
                <c:pt idx="1">
                  <c:v>-4027.5901139456128</c:v>
                </c:pt>
                <c:pt idx="2">
                  <c:v>-12096.082597506218</c:v>
                </c:pt>
                <c:pt idx="3">
                  <c:v>-17267.165909557247</c:v>
                </c:pt>
                <c:pt idx="4">
                  <c:v>-23692.648980595357</c:v>
                </c:pt>
                <c:pt idx="5">
                  <c:v>-28874.436951957883</c:v>
                </c:pt>
                <c:pt idx="6">
                  <c:v>-34064.535173629236</c:v>
                </c:pt>
                <c:pt idx="7">
                  <c:v>-39265.053354215357</c:v>
                </c:pt>
                <c:pt idx="8">
                  <c:v>-44478.209868659411</c:v>
                </c:pt>
                <c:pt idx="9">
                  <c:v>-49706.33622947253</c:v>
                </c:pt>
                <c:pt idx="10">
                  <c:v>-54951.881727460866</c:v>
                </c:pt>
                <c:pt idx="11">
                  <c:v>-60217.418248145383</c:v>
                </c:pt>
                <c:pt idx="12">
                  <c:v>-65505.645270293498</c:v>
                </c:pt>
                <c:pt idx="13">
                  <c:v>-70819.395053212327</c:v>
                </c:pt>
                <c:pt idx="14">
                  <c:v>-76161.638019692109</c:v>
                </c:pt>
                <c:pt idx="15">
                  <c:v>-81535.488341735909</c:v>
                </c:pt>
                <c:pt idx="16">
                  <c:v>-86944.209736467732</c:v>
                </c:pt>
                <c:pt idx="17">
                  <c:v>-92391.221479876753</c:v>
                </c:pt>
                <c:pt idx="18">
                  <c:v>-97880.104646329812</c:v>
                </c:pt>
                <c:pt idx="19">
                  <c:v>-103414.60858206938</c:v>
                </c:pt>
                <c:pt idx="20">
                  <c:v>-108998.65762120852</c:v>
                </c:pt>
                <c:pt idx="21">
                  <c:v>-114636.35805303977</c:v>
                </c:pt>
                <c:pt idx="22">
                  <c:v>-120332.00534979108</c:v>
                </c:pt>
                <c:pt idx="23">
                  <c:v>-126090.09166428907</c:v>
                </c:pt>
                <c:pt idx="24">
                  <c:v>-131915.3136073291</c:v>
                </c:pt>
                <c:pt idx="25">
                  <c:v>-137812.58031490265</c:v>
                </c:pt>
                <c:pt idx="26">
                  <c:v>-143787.02181579609</c:v>
                </c:pt>
                <c:pt idx="27">
                  <c:v>-149843.99771045163</c:v>
                </c:pt>
                <c:pt idx="28">
                  <c:v>-155989.10617237087</c:v>
                </c:pt>
                <c:pt idx="29">
                  <c:v>-162228.19328374555</c:v>
                </c:pt>
              </c:numCache>
            </c:numRef>
          </c:val>
          <c:smooth val="0"/>
          <c:extLst>
            <c:ext xmlns:c16="http://schemas.microsoft.com/office/drawing/2014/chart" uri="{C3380CC4-5D6E-409C-BE32-E72D297353CC}">
              <c16:uniqueId val="{00000000-70AF-4727-9637-D2F0D762ED67}"/>
            </c:ext>
          </c:extLst>
        </c:ser>
        <c:ser>
          <c:idx val="1"/>
          <c:order val="1"/>
          <c:tx>
            <c:strRef>
              <c:f>'Real Value Analysis'!$A$14</c:f>
              <c:strCache>
                <c:ptCount val="1"/>
                <c:pt idx="0">
                  <c:v>Cumulative real net cash flow</c:v>
                </c:pt>
              </c:strCache>
            </c:strRef>
          </c:tx>
          <c:spPr>
            <a:ln w="28080">
              <a:solidFill>
                <a:srgbClr val="9C9C9C"/>
              </a:solidFill>
              <a:prstDash val="solid"/>
            </a:ln>
          </c:spPr>
          <c:marker>
            <c:symbol val="none"/>
          </c:marker>
          <c:dLbls>
            <c:spPr>
              <a:noFill/>
              <a:ln>
                <a:noFill/>
                <a:prstDash val="solid"/>
              </a:ln>
            </c:spPr>
            <c:txPr>
              <a:bodyPr anchorCtr="1"/>
              <a:lstStyle/>
              <a:p>
                <a:pPr>
                  <a:defRPr sz="1000" b="0">
                    <a:solidFill>
                      <a:srgbClr val="000000"/>
                    </a:solidFill>
                    <a:latin typeface="Arial"/>
                    <a:ea typeface="Arial"/>
                    <a:cs typeface="Arial"/>
                  </a:defRPr>
                </a:pPr>
                <a:endParaRPr lang="de-DE"/>
              </a:p>
            </c:txPr>
            <c:showLegendKey val="0"/>
            <c:showVal val="0"/>
            <c:showCatName val="0"/>
            <c:showSerName val="0"/>
            <c:showPercent val="0"/>
            <c:showBubbleSize val="1"/>
            <c:showLeaderLines val="0"/>
            <c:extLst>
              <c:ext xmlns:c15="http://schemas.microsoft.com/office/drawing/2012/chart" uri="{CE6537A1-D6FC-4f65-9D91-7224C49458BB}">
                <c15:showLeaderLines val="0"/>
              </c:ext>
            </c:extLst>
          </c:dLbls>
          <c:cat>
            <c:strRef>
              <c:f>'Real Value Analysis'!$B$6:$AE$6</c:f>
              <c:strCache>
                <c:ptCount val="30"/>
                <c:pt idx="0">
                  <c:v>Year 1</c:v>
                </c:pt>
                <c:pt idx="1">
                  <c:v>Year 2</c:v>
                </c:pt>
                <c:pt idx="2">
                  <c:v>Year 3</c:v>
                </c:pt>
                <c:pt idx="3">
                  <c:v>Year 4</c:v>
                </c:pt>
                <c:pt idx="4">
                  <c:v>Year 5</c:v>
                </c:pt>
                <c:pt idx="5">
                  <c:v>Year 6</c:v>
                </c:pt>
                <c:pt idx="6">
                  <c:v>Year 7</c:v>
                </c:pt>
                <c:pt idx="7">
                  <c:v>Year 8</c:v>
                </c:pt>
                <c:pt idx="8">
                  <c:v>Year 9</c:v>
                </c:pt>
                <c:pt idx="9">
                  <c:v>Year 10</c:v>
                </c:pt>
                <c:pt idx="10">
                  <c:v>Year 11</c:v>
                </c:pt>
                <c:pt idx="11">
                  <c:v>Year 12</c:v>
                </c:pt>
                <c:pt idx="12">
                  <c:v>Year 13</c:v>
                </c:pt>
                <c:pt idx="13">
                  <c:v>Year 14</c:v>
                </c:pt>
                <c:pt idx="14">
                  <c:v>Year 15</c:v>
                </c:pt>
                <c:pt idx="15">
                  <c:v>Year 16</c:v>
                </c:pt>
                <c:pt idx="16">
                  <c:v>Year 17</c:v>
                </c:pt>
                <c:pt idx="17">
                  <c:v>Year 18</c:v>
                </c:pt>
                <c:pt idx="18">
                  <c:v>Year 19</c:v>
                </c:pt>
                <c:pt idx="19">
                  <c:v>Year 20</c:v>
                </c:pt>
                <c:pt idx="20">
                  <c:v>Year 21</c:v>
                </c:pt>
                <c:pt idx="21">
                  <c:v>Year 22</c:v>
                </c:pt>
                <c:pt idx="22">
                  <c:v>Year 23</c:v>
                </c:pt>
                <c:pt idx="23">
                  <c:v>Year 24</c:v>
                </c:pt>
                <c:pt idx="24">
                  <c:v>Year 25</c:v>
                </c:pt>
                <c:pt idx="25">
                  <c:v>Year 26</c:v>
                </c:pt>
                <c:pt idx="26">
                  <c:v>Year 27</c:v>
                </c:pt>
                <c:pt idx="27">
                  <c:v>Year 28</c:v>
                </c:pt>
                <c:pt idx="28">
                  <c:v>Year 29</c:v>
                </c:pt>
                <c:pt idx="29">
                  <c:v>Year 30</c:v>
                </c:pt>
              </c:strCache>
            </c:strRef>
          </c:cat>
          <c:val>
            <c:numRef>
              <c:f>'Real Value Analysis'!$B$14:$AE$14</c:f>
              <c:numCache>
                <c:formatCode>#,##0" €"</c:formatCode>
                <c:ptCount val="30"/>
                <c:pt idx="0">
                  <c:v>1112.2225480961522</c:v>
                </c:pt>
                <c:pt idx="1">
                  <c:v>-3806.3908731951442</c:v>
                </c:pt>
                <c:pt idx="2">
                  <c:v>-11298.788240439942</c:v>
                </c:pt>
                <c:pt idx="3">
                  <c:v>-15983.534501305827</c:v>
                </c:pt>
                <c:pt idx="4">
                  <c:v>-21662.725263605229</c:v>
                </c:pt>
                <c:pt idx="5">
                  <c:v>-26130.964791382976</c:v>
                </c:pt>
                <c:pt idx="6">
                  <c:v>-30497.213991943365</c:v>
                </c:pt>
                <c:pt idx="7">
                  <c:v>-34765.52145511056</c:v>
                </c:pt>
                <c:pt idx="8">
                  <c:v>-38939.843730566063</c:v>
                </c:pt>
                <c:pt idx="9">
                  <c:v>-43024.047687653416</c:v>
                </c:pt>
                <c:pt idx="10">
                  <c:v>-47021.91281858812</c:v>
                </c:pt>
                <c:pt idx="11">
                  <c:v>-50937.133486464088</c:v>
                </c:pt>
                <c:pt idx="12">
                  <c:v>-54773.321119414191</c:v>
                </c:pt>
                <c:pt idx="13">
                  <c:v>-58534.006352249431</c:v>
                </c:pt>
                <c:pt idx="14">
                  <c:v>-62222.641116869047</c:v>
                </c:pt>
                <c:pt idx="15">
                  <c:v>-65842.600682702541</c:v>
                </c:pt>
                <c:pt idx="16">
                  <c:v>-69397.185648413855</c:v>
                </c:pt>
                <c:pt idx="17">
                  <c:v>-72889.623886068119</c:v>
                </c:pt>
                <c:pt idx="18">
                  <c:v>-76323.072438932228</c:v>
                </c:pt>
                <c:pt idx="19">
                  <c:v>-79700.619374051923</c:v>
                </c:pt>
                <c:pt idx="20">
                  <c:v>-83025.285590720596</c:v>
                </c:pt>
                <c:pt idx="21">
                  <c:v>-86300.026585927539</c:v>
                </c:pt>
                <c:pt idx="22">
                  <c:v>-89527.734177847349</c:v>
                </c:pt>
                <c:pt idx="23">
                  <c:v>-92711.238188406176</c:v>
                </c:pt>
                <c:pt idx="24">
                  <c:v>-95853.308085935409</c:v>
                </c:pt>
                <c:pt idx="25">
                  <c:v>-98956.654588899022</c:v>
                </c:pt>
                <c:pt idx="26">
                  <c:v>-102023.93123165658</c:v>
                </c:pt>
                <c:pt idx="27">
                  <c:v>-105057.73589320085</c:v>
                </c:pt>
                <c:pt idx="28">
                  <c:v>-108060.61228978614</c:v>
                </c:pt>
                <c:pt idx="29">
                  <c:v>-111035.05143234089</c:v>
                </c:pt>
              </c:numCache>
            </c:numRef>
          </c:val>
          <c:smooth val="0"/>
          <c:extLst>
            <c:ext xmlns:c16="http://schemas.microsoft.com/office/drawing/2014/chart" uri="{C3380CC4-5D6E-409C-BE32-E72D297353CC}">
              <c16:uniqueId val="{00000001-70AF-4727-9637-D2F0D762ED67}"/>
            </c:ext>
          </c:extLst>
        </c:ser>
        <c:dLbls>
          <c:showLegendKey val="0"/>
          <c:showVal val="0"/>
          <c:showCatName val="0"/>
          <c:showSerName val="0"/>
          <c:showPercent val="0"/>
          <c:showBubbleSize val="0"/>
        </c:dLbls>
        <c:smooth val="0"/>
        <c:axId val="5249922"/>
        <c:axId val="26091440"/>
      </c:lineChart>
      <c:catAx>
        <c:axId val="5249922"/>
        <c:scaling>
          <c:orientation val="minMax"/>
        </c:scaling>
        <c:delete val="0"/>
        <c:axPos val="b"/>
        <c:numFmt formatCode="General"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26091440"/>
        <c:crosses val="autoZero"/>
        <c:auto val="1"/>
        <c:lblAlgn val="ctr"/>
        <c:lblOffset val="100"/>
        <c:noMultiLvlLbl val="1"/>
      </c:catAx>
      <c:valAx>
        <c:axId val="26091440"/>
        <c:scaling>
          <c:orientation val="minMax"/>
        </c:scaling>
        <c:delete val="0"/>
        <c:axPos val="l"/>
        <c:numFmt formatCode="#,##0" sourceLinked="0"/>
        <c:majorTickMark val="none"/>
        <c:minorTickMark val="none"/>
        <c:tickLblPos val="nextTo"/>
        <c:spPr>
          <a:ln w="0">
            <a:solidFill>
              <a:srgbClr val="B3B3B3"/>
            </a:solidFill>
            <a:prstDash val="solid"/>
          </a:ln>
        </c:spPr>
        <c:txPr>
          <a:bodyPr anchorCtr="1"/>
          <a:lstStyle/>
          <a:p>
            <a:pPr>
              <a:defRPr sz="1000" b="0">
                <a:solidFill>
                  <a:srgbClr val="000000"/>
                </a:solidFill>
                <a:latin typeface="Calibri"/>
                <a:ea typeface="Calibri"/>
                <a:cs typeface="Calibri"/>
              </a:defRPr>
            </a:pPr>
            <a:endParaRPr lang="de-DE"/>
          </a:p>
        </c:txPr>
        <c:crossAx val="5249922"/>
        <c:crosses val="autoZero"/>
        <c:crossBetween val="between"/>
      </c:valAx>
    </c:plotArea>
    <c:legend>
      <c:legendPos val="b"/>
      <c:overlay val="0"/>
      <c:spPr>
        <a:noFill/>
        <a:ln>
          <a:prstDash val="solid"/>
        </a:ln>
      </c:spPr>
      <c:txPr>
        <a:bodyPr anchorCtr="1"/>
        <a:lstStyle/>
        <a:p>
          <a:pPr>
            <a:defRPr sz="1000" b="0">
              <a:solidFill>
                <a:srgbClr val="000000"/>
              </a:solidFill>
              <a:latin typeface="Calibri"/>
              <a:ea typeface="Calibri"/>
              <a:cs typeface="Calibri"/>
            </a:defRPr>
          </a:pPr>
          <a:endParaRPr lang="de-DE"/>
        </a:p>
      </c:txPr>
    </c:legend>
    <c:plotVisOnly val="1"/>
    <c:dispBlanksAs val="zero"/>
    <c:showDLblsOverMax val="1"/>
  </c:chart>
  <c:spPr>
    <a:solidFill>
      <a:srgbClr val="FFFFFF"/>
    </a:solidFill>
    <a:ln w="9360">
      <a:solidFill>
        <a:srgbClr val="D9D9D9"/>
      </a:solidFill>
      <a:prstDash val="soli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101600</xdr:colOff>
      <xdr:row>44</xdr:row>
      <xdr:rowOff>101600</xdr:rowOff>
    </xdr:from>
    <xdr:to>
      <xdr:col>4</xdr:col>
      <xdr:colOff>236600</xdr:colOff>
      <xdr:row>62</xdr:row>
      <xdr:rowOff>27590</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363600</xdr:colOff>
      <xdr:row>44</xdr:row>
      <xdr:rowOff>101600</xdr:rowOff>
    </xdr:from>
    <xdr:to>
      <xdr:col>8</xdr:col>
      <xdr:colOff>727200</xdr:colOff>
      <xdr:row>62</xdr:row>
      <xdr:rowOff>27590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101600</xdr:colOff>
      <xdr:row>63</xdr:row>
      <xdr:rowOff>14891</xdr:rowOff>
    </xdr:from>
    <xdr:to>
      <xdr:col>8</xdr:col>
      <xdr:colOff>727200</xdr:colOff>
      <xdr:row>80</xdr:row>
      <xdr:rowOff>188531</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26</xdr:row>
      <xdr:rowOff>0</xdr:rowOff>
    </xdr:from>
    <xdr:to>
      <xdr:col>6</xdr:col>
      <xdr:colOff>214695</xdr:colOff>
      <xdr:row>41</xdr:row>
      <xdr:rowOff>21240</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A6099"/>
  </sheetPr>
  <dimension ref="A1:M59"/>
  <sheetViews>
    <sheetView showGridLines="0" tabSelected="1" workbookViewId="0">
      <selection activeCell="L6" sqref="L6"/>
    </sheetView>
  </sheetViews>
  <sheetFormatPr baseColWidth="10" defaultColWidth="8.7109375" defaultRowHeight="15" x14ac:dyDescent="0.25"/>
  <cols>
    <col min="1" max="1" width="28.7109375" customWidth="1"/>
    <col min="2" max="2" width="16.7109375" customWidth="1"/>
    <col min="3" max="5" width="15.7109375" customWidth="1"/>
    <col min="6" max="8" width="16.7109375" customWidth="1"/>
    <col min="9" max="13" width="13.7109375" customWidth="1"/>
  </cols>
  <sheetData>
    <row r="1" spans="1:13" ht="30" customHeight="1" x14ac:dyDescent="0.3">
      <c r="A1" s="257" t="s">
        <v>506</v>
      </c>
      <c r="B1" s="257"/>
      <c r="C1" s="257"/>
      <c r="D1" s="257"/>
      <c r="E1" s="257"/>
      <c r="F1" s="257"/>
      <c r="G1" s="257"/>
      <c r="H1" s="257"/>
      <c r="I1" s="257"/>
      <c r="J1" s="257"/>
      <c r="K1" s="257"/>
      <c r="L1" s="257"/>
      <c r="M1" s="257"/>
    </row>
    <row r="2" spans="1:13" ht="36" customHeight="1" x14ac:dyDescent="0.25">
      <c r="A2" s="258" t="s">
        <v>543</v>
      </c>
      <c r="B2" s="258"/>
      <c r="C2" s="258"/>
      <c r="D2" s="258"/>
      <c r="E2" s="258"/>
      <c r="F2" s="258"/>
      <c r="G2" s="258"/>
      <c r="H2" s="258"/>
      <c r="I2" s="258"/>
      <c r="J2" s="258"/>
      <c r="K2" s="258"/>
      <c r="L2" s="258"/>
      <c r="M2" s="258"/>
    </row>
    <row r="3" spans="1:13" ht="8.1" customHeight="1" x14ac:dyDescent="0.25"/>
    <row r="4" spans="1:13" ht="15" customHeight="1" x14ac:dyDescent="0.25">
      <c r="A4" s="256" t="s">
        <v>507</v>
      </c>
      <c r="B4" s="256"/>
      <c r="C4" s="256"/>
      <c r="D4" s="256"/>
      <c r="E4" s="256"/>
      <c r="F4" s="256"/>
      <c r="G4" s="256"/>
      <c r="H4" s="256"/>
      <c r="I4" s="256"/>
      <c r="J4" s="256"/>
      <c r="K4" s="256"/>
      <c r="L4" s="256"/>
      <c r="M4" s="256"/>
    </row>
    <row r="5" spans="1:13" ht="36" customHeight="1" x14ac:dyDescent="0.25">
      <c r="A5" s="254" t="s">
        <v>507</v>
      </c>
      <c r="B5" s="246" t="s">
        <v>172</v>
      </c>
      <c r="C5" s="215" t="s">
        <v>508</v>
      </c>
      <c r="D5" s="215" t="s">
        <v>509</v>
      </c>
      <c r="E5" s="215" t="s">
        <v>510</v>
      </c>
      <c r="F5" s="215" t="s">
        <v>511</v>
      </c>
      <c r="G5" s="215" t="s">
        <v>512</v>
      </c>
      <c r="H5" s="220" t="s">
        <v>513</v>
      </c>
    </row>
    <row r="6" spans="1:13" ht="24" customHeight="1" x14ac:dyDescent="0.25">
      <c r="A6" s="255"/>
      <c r="B6" s="247">
        <f>'Property Calculator'!B27</f>
        <v>350000</v>
      </c>
      <c r="C6" s="231">
        <f>'Property Calculator'!B28</f>
        <v>80</v>
      </c>
      <c r="D6" s="216">
        <f>'Property Calculator'!B29</f>
        <v>4375</v>
      </c>
      <c r="E6" s="231">
        <f>'Property Calculator'!B11</f>
        <v>10</v>
      </c>
      <c r="F6" s="218" t="str">
        <f>CHOOSE('Exit Analysis'!B47,"Appreciation","Cap-Rate","Mietfaktor")</f>
        <v>Appreciation</v>
      </c>
      <c r="G6" s="219">
        <f>HOA!B15</f>
        <v>0.05</v>
      </c>
      <c r="H6" s="217">
        <f>CapEx!B16</f>
        <v>5000</v>
      </c>
    </row>
    <row r="7" spans="1:13" ht="8.1" customHeight="1" x14ac:dyDescent="0.25"/>
    <row r="8" spans="1:13" ht="15" customHeight="1" x14ac:dyDescent="0.25">
      <c r="A8" s="256" t="s">
        <v>514</v>
      </c>
      <c r="B8" s="256"/>
      <c r="C8" s="256"/>
      <c r="D8" s="256"/>
      <c r="E8" s="256"/>
      <c r="F8" s="256"/>
      <c r="G8" s="256"/>
      <c r="H8" s="256"/>
      <c r="I8" s="256"/>
      <c r="J8" s="256"/>
      <c r="K8" s="256"/>
      <c r="L8" s="256"/>
      <c r="M8" s="256"/>
    </row>
    <row r="9" spans="1:13" ht="36" customHeight="1" x14ac:dyDescent="0.25">
      <c r="A9" s="254" t="s">
        <v>545</v>
      </c>
      <c r="B9" s="246" t="s">
        <v>515</v>
      </c>
      <c r="C9" s="215" t="s">
        <v>516</v>
      </c>
      <c r="D9" s="215" t="s">
        <v>517</v>
      </c>
      <c r="E9" s="215" t="s">
        <v>518</v>
      </c>
      <c r="F9" s="215" t="s">
        <v>519</v>
      </c>
      <c r="G9" s="215" t="s">
        <v>520</v>
      </c>
      <c r="H9" s="220" t="s">
        <v>521</v>
      </c>
    </row>
    <row r="10" spans="1:13" ht="24" customHeight="1" x14ac:dyDescent="0.25">
      <c r="A10" s="255"/>
      <c r="B10" s="248">
        <f>'Property Calculator'!B77</f>
        <v>12.5</v>
      </c>
      <c r="C10" s="221">
        <f>'Property Calculator'!B84</f>
        <v>13.5</v>
      </c>
      <c r="D10" s="221">
        <f>'Property Calculator'!B84-'Property Calculator'!B77</f>
        <v>1</v>
      </c>
      <c r="E10" s="221">
        <f>'Property Calculator'!B78</f>
        <v>1000</v>
      </c>
      <c r="F10" s="221">
        <f>'Property Calculator'!B84*'Property Calculator'!B28</f>
        <v>1080</v>
      </c>
      <c r="G10" s="232">
        <f>'Property Calculator'!B21</f>
        <v>29.166666666666668</v>
      </c>
      <c r="H10" s="233">
        <f>IFERROR('Property Calculator'!B27/('Property Calculator'!B84*'Property Calculator'!B28*12),"—")</f>
        <v>27.006172839506174</v>
      </c>
    </row>
    <row r="11" spans="1:13" ht="8.1" customHeight="1" x14ac:dyDescent="0.25"/>
    <row r="12" spans="1:13" ht="15" customHeight="1" x14ac:dyDescent="0.25">
      <c r="A12" s="256" t="s">
        <v>522</v>
      </c>
      <c r="B12" s="256"/>
      <c r="C12" s="256"/>
      <c r="D12" s="256"/>
      <c r="E12" s="256"/>
      <c r="F12" s="256"/>
      <c r="G12" s="256"/>
      <c r="H12" s="256"/>
      <c r="I12" s="256"/>
      <c r="J12" s="256"/>
      <c r="K12" s="256"/>
      <c r="L12" s="256"/>
      <c r="M12" s="256"/>
    </row>
    <row r="13" spans="1:13" ht="36" customHeight="1" x14ac:dyDescent="0.25">
      <c r="A13" s="254" t="s">
        <v>546</v>
      </c>
      <c r="B13" s="246" t="s">
        <v>523</v>
      </c>
      <c r="C13" s="215" t="s">
        <v>261</v>
      </c>
      <c r="D13" s="215" t="s">
        <v>13</v>
      </c>
      <c r="E13" s="215" t="s">
        <v>317</v>
      </c>
      <c r="F13" s="215" t="s">
        <v>524</v>
      </c>
      <c r="G13" s="215" t="s">
        <v>525</v>
      </c>
      <c r="H13" s="220" t="s">
        <v>526</v>
      </c>
    </row>
    <row r="14" spans="1:13" ht="24" customHeight="1" x14ac:dyDescent="0.25">
      <c r="A14" s="255"/>
      <c r="B14" s="249">
        <f>'Property Calculator'!B63</f>
        <v>80000</v>
      </c>
      <c r="C14" s="224">
        <f>'Property Calculator'!B62</f>
        <v>0.20078053432719697</v>
      </c>
      <c r="D14" s="224">
        <f>'Property Calculator'!B71</f>
        <v>0.90984285714285718</v>
      </c>
      <c r="E14" s="221">
        <f>'Property Calculator'!B67</f>
        <v>1429.9603560928113</v>
      </c>
      <c r="F14" s="222">
        <f>'Property Calculator'!B14</f>
        <v>246562.01314562609</v>
      </c>
      <c r="G14" s="234">
        <f>'Property Calculator'!B72</f>
        <v>0</v>
      </c>
      <c r="H14" s="225">
        <f>'Property Calculator'!B73</f>
        <v>0.04</v>
      </c>
    </row>
    <row r="15" spans="1:13" ht="8.1" customHeight="1" x14ac:dyDescent="0.25"/>
    <row r="16" spans="1:13" ht="15" customHeight="1" x14ac:dyDescent="0.25">
      <c r="A16" s="256" t="s">
        <v>527</v>
      </c>
      <c r="B16" s="256"/>
      <c r="C16" s="256"/>
      <c r="D16" s="256"/>
      <c r="E16" s="256"/>
      <c r="F16" s="256"/>
      <c r="G16" s="256"/>
      <c r="H16" s="256"/>
      <c r="I16" s="256"/>
      <c r="J16" s="256"/>
      <c r="K16" s="256"/>
      <c r="L16" s="256"/>
      <c r="M16" s="256"/>
    </row>
    <row r="17" spans="1:13" ht="36" customHeight="1" x14ac:dyDescent="0.25">
      <c r="A17" s="254" t="s">
        <v>547</v>
      </c>
      <c r="B17" s="246" t="s">
        <v>427</v>
      </c>
      <c r="C17" s="215" t="s">
        <v>6</v>
      </c>
      <c r="D17" s="215" t="s">
        <v>7</v>
      </c>
      <c r="E17" s="215" t="s">
        <v>30</v>
      </c>
      <c r="F17" s="215" t="s">
        <v>528</v>
      </c>
      <c r="G17" s="215" t="s">
        <v>18</v>
      </c>
      <c r="H17" s="220" t="s">
        <v>23</v>
      </c>
    </row>
    <row r="18" spans="1:13" ht="24" customHeight="1" x14ac:dyDescent="0.25">
      <c r="A18" s="255"/>
      <c r="B18" s="249">
        <f>'Property Calculator'!B112</f>
        <v>1140.028111798556</v>
      </c>
      <c r="C18" s="224">
        <f>'Property Calculator'!B24</f>
        <v>1.425035139748195E-2</v>
      </c>
      <c r="D18" s="235">
        <f>'Property Calculator'!B25</f>
        <v>0.50700706275590202</v>
      </c>
      <c r="E18" s="224">
        <f>'Property Calculator'!B20</f>
        <v>4.1446533799171459E-2</v>
      </c>
      <c r="F18" s="224">
        <f>'Property Calculator'!I6</f>
        <v>2.6209601759910588E-2</v>
      </c>
      <c r="G18" s="236">
        <f>'Return Details'!$C$40</f>
        <v>1.3929346754399534</v>
      </c>
      <c r="H18" s="223">
        <f ca="1">'Return Details'!C43</f>
        <v>-22737.647052044304</v>
      </c>
    </row>
    <row r="19" spans="1:13" ht="8.1" customHeight="1" x14ac:dyDescent="0.25"/>
    <row r="20" spans="1:13" ht="15" customHeight="1" x14ac:dyDescent="0.25">
      <c r="A20" s="256" t="s">
        <v>529</v>
      </c>
      <c r="B20" s="256"/>
      <c r="C20" s="256"/>
      <c r="D20" s="256"/>
      <c r="E20" s="256"/>
      <c r="F20" s="256"/>
      <c r="G20" s="256"/>
      <c r="H20" s="256"/>
      <c r="I20" s="256"/>
      <c r="J20" s="256"/>
      <c r="K20" s="256"/>
      <c r="L20" s="256"/>
      <c r="M20" s="256"/>
    </row>
    <row r="21" spans="1:13" ht="36" customHeight="1" x14ac:dyDescent="0.25">
      <c r="A21" s="254" t="s">
        <v>529</v>
      </c>
      <c r="B21" s="246" t="s">
        <v>530</v>
      </c>
      <c r="C21" s="215" t="s">
        <v>531</v>
      </c>
      <c r="D21" s="215" t="s">
        <v>532</v>
      </c>
      <c r="E21" s="215" t="s">
        <v>533</v>
      </c>
      <c r="F21" s="215" t="s">
        <v>534</v>
      </c>
      <c r="G21" s="215" t="s">
        <v>535</v>
      </c>
      <c r="H21" s="220" t="s">
        <v>536</v>
      </c>
    </row>
    <row r="22" spans="1:13" ht="24" customHeight="1" x14ac:dyDescent="0.25">
      <c r="A22" s="255"/>
      <c r="B22" s="249">
        <f>'Property Calculator'!B13</f>
        <v>448029.59046872496</v>
      </c>
      <c r="C22" s="222">
        <f>'Exit Analysis'!B18</f>
        <v>179066.09779966265</v>
      </c>
      <c r="D22" s="222">
        <f>'Exit Analysis'!B21</f>
        <v>49359.761570190109</v>
      </c>
      <c r="E22" s="222">
        <f>'Exit Analysis'!B37</f>
        <v>-49706.33622947253</v>
      </c>
      <c r="F22" s="222">
        <f>'Exit Analysis'!B38</f>
        <v>71882.986854373914</v>
      </c>
      <c r="G22" s="222">
        <f>'Exit Analysis'!B39</f>
        <v>98029.590468724957</v>
      </c>
      <c r="H22" s="223">
        <f>'Exit Analysis'!B54</f>
        <v>341092.2639652841</v>
      </c>
    </row>
    <row r="23" spans="1:13" ht="8.1" customHeight="1" x14ac:dyDescent="0.25"/>
    <row r="24" spans="1:13" ht="15" customHeight="1" x14ac:dyDescent="0.25">
      <c r="A24" s="256" t="s">
        <v>537</v>
      </c>
      <c r="B24" s="256"/>
      <c r="C24" s="256"/>
      <c r="D24" s="256"/>
      <c r="E24" s="256"/>
      <c r="F24" s="256"/>
      <c r="G24" s="256"/>
      <c r="H24" s="256"/>
      <c r="I24" s="256"/>
      <c r="J24" s="256"/>
      <c r="K24" s="256"/>
      <c r="L24" s="256"/>
      <c r="M24" s="256"/>
    </row>
    <row r="25" spans="1:13" ht="36" customHeight="1" x14ac:dyDescent="0.25">
      <c r="A25" s="254" t="s">
        <v>548</v>
      </c>
      <c r="B25" s="246" t="s">
        <v>538</v>
      </c>
      <c r="C25" s="215" t="s">
        <v>539</v>
      </c>
      <c r="D25" s="215" t="s">
        <v>20</v>
      </c>
      <c r="E25" s="215" t="s">
        <v>21</v>
      </c>
      <c r="F25" s="215" t="s">
        <v>22</v>
      </c>
      <c r="G25" s="215" t="s">
        <v>540</v>
      </c>
      <c r="H25" s="220" t="s">
        <v>541</v>
      </c>
    </row>
    <row r="26" spans="1:13" ht="24" customHeight="1" x14ac:dyDescent="0.25">
      <c r="A26" s="255"/>
      <c r="B26" s="250">
        <f>'Property Calculator'!B23</f>
        <v>832.86005867368112</v>
      </c>
      <c r="C26" s="216">
        <f>'Equity Optimization'!B12</f>
        <v>51001.868978245533</v>
      </c>
      <c r="D26" s="216">
        <f>'Equity Optimization'!B21</f>
        <v>382068.20219553821</v>
      </c>
      <c r="E26" s="219">
        <f>'Equity Optimization'!B22</f>
        <v>4.7838847000187944E-2</v>
      </c>
      <c r="F26" s="216" t="str">
        <f>'Equity Optimization'!B40</f>
        <v>—</v>
      </c>
      <c r="G26" s="216">
        <f>HOA!B31</f>
        <v>1250</v>
      </c>
      <c r="H26" s="217">
        <f>HOA!B8</f>
        <v>600</v>
      </c>
    </row>
    <row r="27" spans="1:13" ht="8.1" customHeight="1" x14ac:dyDescent="0.25"/>
    <row r="28" spans="1:13" ht="15" customHeight="1" x14ac:dyDescent="0.25">
      <c r="A28" s="256" t="s">
        <v>24</v>
      </c>
      <c r="B28" s="256"/>
      <c r="C28" s="256"/>
      <c r="D28" s="256"/>
      <c r="E28" s="256"/>
      <c r="F28" s="256"/>
      <c r="G28" s="256"/>
      <c r="H28" s="256"/>
      <c r="I28" s="256"/>
      <c r="J28" s="256"/>
      <c r="K28" s="256"/>
      <c r="L28" s="256"/>
      <c r="M28" s="256"/>
    </row>
    <row r="29" spans="1:13" ht="15" customHeight="1" x14ac:dyDescent="0.25">
      <c r="A29" s="179" t="s">
        <v>25</v>
      </c>
      <c r="B29" s="179" t="s">
        <v>26</v>
      </c>
      <c r="C29" s="179" t="s">
        <v>27</v>
      </c>
      <c r="D29" s="182" t="s">
        <v>28</v>
      </c>
    </row>
    <row r="30" spans="1:13" ht="15" customHeight="1" x14ac:dyDescent="0.25">
      <c r="A30" s="180" t="s">
        <v>29</v>
      </c>
      <c r="B30" s="192">
        <f>IFERROR(Scenarios!B84/'Property Calculator'!$B$11,"—")</f>
        <v>-8193.8925157456779</v>
      </c>
      <c r="C30" s="192">
        <f>IFERROR(Scenarios!C84/'Property Calculator'!$B$11,"—")</f>
        <v>-4970.6336229472527</v>
      </c>
      <c r="D30" s="195">
        <f>IFERROR(Scenarios!D84/'Property Calculator'!$B$11,"—")</f>
        <v>-2165.0963146764761</v>
      </c>
    </row>
    <row r="31" spans="1:13" ht="15" customHeight="1" x14ac:dyDescent="0.25">
      <c r="A31" s="180" t="s">
        <v>18</v>
      </c>
      <c r="B31" s="237">
        <f>'Return Details'!$B$40</f>
        <v>1.0544529263650451</v>
      </c>
      <c r="C31" s="237">
        <f>'Return Details'!$C$40</f>
        <v>1.3929346754399534</v>
      </c>
      <c r="D31" s="238">
        <f>'Return Details'!$D$40</f>
        <v>1.771041779183945</v>
      </c>
    </row>
    <row r="32" spans="1:13" ht="15" customHeight="1" x14ac:dyDescent="0.25">
      <c r="A32" s="180" t="s">
        <v>30</v>
      </c>
      <c r="B32" s="201">
        <f>'Return Details'!$B$39</f>
        <v>7.1317046880722051E-3</v>
      </c>
      <c r="C32" s="201">
        <f>'Return Details'!$C$39</f>
        <v>4.1446533799171459E-2</v>
      </c>
      <c r="D32" s="207">
        <f>'Return Details'!$D$39</f>
        <v>6.7290046811103801E-2</v>
      </c>
    </row>
    <row r="33" spans="1:13" ht="15" customHeight="1" x14ac:dyDescent="0.25">
      <c r="A33" s="226" t="s">
        <v>31</v>
      </c>
      <c r="B33" s="193">
        <f>Scenarios!B43</f>
        <v>-2162.5469611409917</v>
      </c>
      <c r="C33" s="193">
        <f>Scenarios!C43</f>
        <v>1140.028111798556</v>
      </c>
      <c r="D33" s="194">
        <f>Scenarios!D43</f>
        <v>3332.7969343049435</v>
      </c>
    </row>
    <row r="34" spans="1:13" ht="8.1" customHeight="1" x14ac:dyDescent="0.25"/>
    <row r="35" spans="1:13" ht="15" customHeight="1" x14ac:dyDescent="0.25">
      <c r="A35" s="256" t="s">
        <v>32</v>
      </c>
      <c r="B35" s="256"/>
      <c r="C35" s="256"/>
      <c r="D35" s="256"/>
      <c r="E35" s="256"/>
      <c r="F35" s="256"/>
      <c r="G35" s="256"/>
      <c r="H35" s="256"/>
      <c r="I35" s="256"/>
      <c r="J35" s="256"/>
      <c r="K35" s="256"/>
      <c r="L35" s="256"/>
      <c r="M35" s="256"/>
    </row>
    <row r="36" spans="1:13" ht="15" customHeight="1" x14ac:dyDescent="0.25">
      <c r="A36" s="180" t="s">
        <v>33</v>
      </c>
      <c r="B36" s="201">
        <f>'Interest Rate Test'!B6</f>
        <v>5.0000000000000044E-3</v>
      </c>
      <c r="C36" s="201">
        <f>'Interest Rate Test'!C6</f>
        <v>1.5000000000000003E-2</v>
      </c>
      <c r="D36" s="201">
        <f>'Interest Rate Test'!D6</f>
        <v>2.5000000000000001E-2</v>
      </c>
      <c r="E36" s="201">
        <f>'Interest Rate Test'!E6</f>
        <v>3.5000000000000003E-2</v>
      </c>
      <c r="F36" s="201">
        <f>'Interest Rate Test'!F6</f>
        <v>4.5000000000000005E-2</v>
      </c>
      <c r="G36" s="201">
        <f>'Interest Rate Test'!G6</f>
        <v>5.5000000000000007E-2</v>
      </c>
      <c r="H36" s="207">
        <f>'Interest Rate Test'!H6</f>
        <v>6.5000000000000002E-2</v>
      </c>
    </row>
    <row r="37" spans="1:13" ht="15" customHeight="1" x14ac:dyDescent="0.25">
      <c r="A37" s="180" t="s">
        <v>34</v>
      </c>
      <c r="B37" s="192">
        <f>'Interest Rate Test'!B9</f>
        <v>2885.5276242128402</v>
      </c>
      <c r="C37" s="192">
        <f>'Interest Rate Test'!C9</f>
        <v>2452.9234366238788</v>
      </c>
      <c r="D37" s="192">
        <f>'Interest Rate Test'!D9</f>
        <v>1869.4956728007037</v>
      </c>
      <c r="E37" s="192">
        <f>'Interest Rate Test'!E9</f>
        <v>1140.0281117985596</v>
      </c>
      <c r="F37" s="192">
        <f>'Interest Rate Test'!F9</f>
        <v>271.6280271692267</v>
      </c>
      <c r="G37" s="192">
        <f>'Interest Rate Test'!G9</f>
        <v>-726.7099672350414</v>
      </c>
      <c r="H37" s="195">
        <f>'Interest Rate Test'!H9</f>
        <v>-1844.6083264331355</v>
      </c>
    </row>
    <row r="38" spans="1:13" ht="15" customHeight="1" x14ac:dyDescent="0.25">
      <c r="A38" s="180" t="s">
        <v>35</v>
      </c>
      <c r="B38" s="229">
        <f>'Interest Rate Test'!B7</f>
        <v>952.75402631143288</v>
      </c>
      <c r="C38" s="229">
        <f>'Interest Rate Test'!C7</f>
        <v>1099.01805419179</v>
      </c>
      <c r="D38" s="229">
        <f>'Interest Rate Test'!D7</f>
        <v>1258.2427462401265</v>
      </c>
      <c r="E38" s="229">
        <f>'Interest Rate Test'!E7</f>
        <v>1429.9603560928113</v>
      </c>
      <c r="F38" s="229">
        <f>'Interest Rate Test'!F7</f>
        <v>1613.5140348750258</v>
      </c>
      <c r="G38" s="229">
        <f>'Interest Rate Test'!G7</f>
        <v>1808.0956853394637</v>
      </c>
      <c r="H38" s="230">
        <f>'Interest Rate Test'!H7</f>
        <v>2012.7890174121685</v>
      </c>
    </row>
    <row r="39" spans="1:13" ht="15" customHeight="1" x14ac:dyDescent="0.25">
      <c r="A39" s="226" t="s">
        <v>5</v>
      </c>
      <c r="B39" s="227">
        <f>'Interest Rate Test'!B11</f>
        <v>576.95173231690706</v>
      </c>
      <c r="C39" s="227">
        <f>'Interest Rate Test'!C11</f>
        <v>640.37599158106377</v>
      </c>
      <c r="D39" s="227">
        <f>'Interest Rate Test'!D11</f>
        <v>725.91255090301672</v>
      </c>
      <c r="E39" s="227">
        <f>'Interest Rate Test'!E11</f>
        <v>832.86005867368056</v>
      </c>
      <c r="F39" s="227">
        <f>'Interest Rate Test'!F11</f>
        <v>960.17651490012497</v>
      </c>
      <c r="G39" s="227">
        <f>'Interest Rate Test'!G11</f>
        <v>1106.5432159328877</v>
      </c>
      <c r="H39" s="228">
        <f>'Interest Rate Test'!H11</f>
        <v>1270.4387060803917</v>
      </c>
    </row>
    <row r="40" spans="1:13" ht="8.1" customHeight="1" x14ac:dyDescent="0.25"/>
    <row r="41" spans="1:13" ht="24" customHeight="1" x14ac:dyDescent="0.25">
      <c r="A41" s="259" t="str">
        <f>IF(NOT(ISNUMBER('Property Calculator'!$B$20)),"Model status: XIRR cannot be calculated",IF('Property Calculator'!$B$20&gt;=6%,"Model status: XIRR at least 6%",IF('Property Calculator'!$B$20&gt;=0,"Model status: positive XIRR, below 6%","Model status: negative XIRR")))</f>
        <v>Model status: positive XIRR, below 6%</v>
      </c>
      <c r="B41" s="259"/>
      <c r="C41" s="259"/>
      <c r="D41" s="259"/>
      <c r="E41" s="259"/>
      <c r="F41" s="259"/>
      <c r="G41" s="259"/>
      <c r="H41" s="259"/>
      <c r="I41" s="259"/>
      <c r="J41" s="259"/>
      <c r="K41" s="259"/>
      <c r="L41" s="259"/>
      <c r="M41" s="259"/>
    </row>
    <row r="42" spans="1:13" ht="24" customHeight="1" x14ac:dyDescent="0.25">
      <c r="A42" s="260" t="s">
        <v>542</v>
      </c>
      <c r="B42" s="260"/>
      <c r="C42" s="260"/>
      <c r="D42" s="260"/>
      <c r="E42" s="260"/>
      <c r="F42" s="260"/>
      <c r="G42" s="260"/>
      <c r="H42" s="260"/>
      <c r="I42" s="260"/>
      <c r="J42" s="260"/>
      <c r="K42" s="260"/>
      <c r="L42" s="260"/>
      <c r="M42" s="260"/>
    </row>
    <row r="43" spans="1:13" ht="15" customHeight="1" x14ac:dyDescent="0.25"/>
    <row r="44" spans="1:13" ht="18" customHeight="1" x14ac:dyDescent="0.25">
      <c r="A44" s="256" t="s">
        <v>544</v>
      </c>
      <c r="B44" s="256"/>
      <c r="C44" s="256"/>
      <c r="D44" s="256"/>
      <c r="E44" s="256"/>
      <c r="F44" s="256"/>
      <c r="G44" s="256"/>
      <c r="H44" s="256"/>
      <c r="I44" s="256"/>
      <c r="J44" s="256"/>
      <c r="K44" s="256"/>
      <c r="L44" s="256"/>
      <c r="M44" s="256"/>
    </row>
    <row r="45" spans="1:13" ht="15" customHeight="1" x14ac:dyDescent="0.25"/>
    <row r="46" spans="1:13" ht="15" customHeight="1" x14ac:dyDescent="0.25"/>
    <row r="47" spans="1:13" ht="15" customHeight="1" x14ac:dyDescent="0.25"/>
    <row r="48" spans="1: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sheetData>
  <mergeCells count="19">
    <mergeCell ref="A1:M1"/>
    <mergeCell ref="A4:M4"/>
    <mergeCell ref="A16:M16"/>
    <mergeCell ref="A2:M2"/>
    <mergeCell ref="A8:M8"/>
    <mergeCell ref="A12:M12"/>
    <mergeCell ref="A5:A6"/>
    <mergeCell ref="A9:A10"/>
    <mergeCell ref="A13:A14"/>
    <mergeCell ref="A17:A18"/>
    <mergeCell ref="A21:A22"/>
    <mergeCell ref="A25:A26"/>
    <mergeCell ref="A20:M20"/>
    <mergeCell ref="A44:M44"/>
    <mergeCell ref="A24:M24"/>
    <mergeCell ref="A28:M28"/>
    <mergeCell ref="A35:M35"/>
    <mergeCell ref="A41:M41"/>
    <mergeCell ref="A42:M42"/>
  </mergeCells>
  <conditionalFormatting sqref="B30:D30">
    <cfRule type="cellIs" dxfId="69" priority="26" stopIfTrue="1" operator="lessThan">
      <formula>0</formula>
    </cfRule>
  </conditionalFormatting>
  <conditionalFormatting sqref="B31:D31">
    <cfRule type="cellIs" dxfId="68" priority="27" stopIfTrue="1" operator="lessThan">
      <formula>1</formula>
    </cfRule>
    <cfRule type="cellIs" dxfId="67" priority="28" stopIfTrue="1" operator="between">
      <formula>1</formula>
      <formula>1.499999</formula>
    </cfRule>
    <cfRule type="cellIs" dxfId="66" priority="29" stopIfTrue="1" operator="greaterThanOrEqual">
      <formula>1.5</formula>
    </cfRule>
  </conditionalFormatting>
  <conditionalFormatting sqref="B32:D33">
    <cfRule type="cellIs" dxfId="62" priority="30" stopIfTrue="1" operator="lessThan">
      <formula>0</formula>
    </cfRule>
  </conditionalFormatting>
  <conditionalFormatting sqref="B18:F18">
    <cfRule type="cellIs" dxfId="58" priority="1" stopIfTrue="1" operator="lessThan">
      <formula>0</formula>
    </cfRule>
  </conditionalFormatting>
  <conditionalFormatting sqref="B37:H37">
    <cfRule type="cellIs" dxfId="57" priority="38" stopIfTrue="1" operator="lessThan">
      <formula>0</formula>
    </cfRule>
  </conditionalFormatting>
  <conditionalFormatting sqref="D22">
    <cfRule type="cellIs" dxfId="50" priority="25" stopIfTrue="1" operator="lessThan">
      <formula>0</formula>
    </cfRule>
  </conditionalFormatting>
  <conditionalFormatting sqref="G18">
    <cfRule type="cellIs" dxfId="46" priority="21" stopIfTrue="1" operator="lessThan">
      <formula>1</formula>
    </cfRule>
    <cfRule type="cellIs" dxfId="45" priority="22" stopIfTrue="1" operator="between">
      <formula>1</formula>
      <formula>1.499999</formula>
    </cfRule>
    <cfRule type="cellIs" dxfId="44" priority="23" stopIfTrue="1" operator="greaterThanOrEqual">
      <formula>1.5</formula>
    </cfRule>
  </conditionalFormatting>
  <conditionalFormatting sqref="H18">
    <cfRule type="cellIs" dxfId="43" priority="24" stopIfTrue="1" operator="lessThan">
      <formula>0</formula>
    </cfRule>
  </conditionalFormatting>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2" stopIfTrue="1" operator="lessThan" id="{F592D8A4-91E2-4F4F-807F-E04494066364}">
            <xm:f>'Model Notes'!$B$23</xm:f>
            <x14:dxf>
              <font>
                <color rgb="FF9C0006"/>
              </font>
            </x14:dxf>
          </x14:cfRule>
          <x14:cfRule type="cellIs" priority="3" stopIfTrue="1" operator="between" id="{8B9CA41B-B37A-4F01-BB10-35393EE7ACAE}">
            <xm:f>'Model Notes'!$B$23</xm:f>
            <xm:f>'Model Notes'!$B$22-0.000000000001</xm:f>
            <x14:dxf>
              <font>
                <color rgb="FF9C5700"/>
              </font>
            </x14:dxf>
          </x14:cfRule>
          <x14:cfRule type="cellIs" priority="4" stopIfTrue="1" operator="greaterThanOrEqual" id="{60B1B821-5AA5-4305-BCF0-71CBEA062800}">
            <xm:f>'Model Notes'!$B$22</xm:f>
            <x14:dxf>
              <font>
                <color rgb="FF006100"/>
              </font>
            </x14:dxf>
          </x14:cfRule>
          <xm:sqref>B18</xm:sqref>
        </x14:conditionalFormatting>
        <x14:conditionalFormatting xmlns:xm="http://schemas.microsoft.com/office/excel/2006/main">
          <x14:cfRule type="cellIs" priority="31" stopIfTrue="1" operator="lessThan" id="{BFA043AF-00AD-425E-890D-2DBEC9E3B2D2}">
            <xm:f>'Model Notes'!$B$27</xm:f>
            <x14:dxf>
              <font>
                <color rgb="FF9C0006"/>
              </font>
            </x14:dxf>
          </x14:cfRule>
          <x14:cfRule type="cellIs" priority="32" stopIfTrue="1" operator="between" id="{7632BEC7-B219-4498-80C5-E242F9D6F33D}">
            <xm:f>'Model Notes'!$B$27</xm:f>
            <xm:f>'Model Notes'!$B$26-0.000000000001</xm:f>
            <x14:dxf>
              <font>
                <color rgb="FF9C5700"/>
              </font>
            </x14:dxf>
          </x14:cfRule>
          <x14:cfRule type="cellIs" priority="33" stopIfTrue="1" operator="greaterThanOrEqual" id="{56CC3EBC-2C4F-4825-B465-4B15558A8235}">
            <xm:f>'Model Notes'!$B$26</xm:f>
            <x14:dxf>
              <font>
                <color rgb="FF006100"/>
              </font>
            </x14:dxf>
          </x14:cfRule>
          <xm:sqref>B32:D32</xm:sqref>
        </x14:conditionalFormatting>
        <x14:conditionalFormatting xmlns:xm="http://schemas.microsoft.com/office/excel/2006/main">
          <x14:cfRule type="cellIs" priority="35" stopIfTrue="1" operator="lessThan" id="{DAA4670B-B5C1-4FC8-8E6F-5BAC7C221E82}">
            <xm:f>'Model Notes'!$B$23</xm:f>
            <x14:dxf>
              <font>
                <color rgb="FF9C0006"/>
              </font>
            </x14:dxf>
          </x14:cfRule>
          <x14:cfRule type="cellIs" priority="36" stopIfTrue="1" operator="between" id="{58E97686-2FD9-4C13-8261-C2B9E533B482}">
            <xm:f>'Model Notes'!$B$23</xm:f>
            <xm:f>'Model Notes'!$B$22-0.000000000001</xm:f>
            <x14:dxf>
              <font>
                <color rgb="FF9C5700"/>
              </font>
            </x14:dxf>
          </x14:cfRule>
          <x14:cfRule type="cellIs" priority="37" stopIfTrue="1" operator="greaterThanOrEqual" id="{6406E220-550C-4D93-94DE-5DD6870DBCA6}">
            <xm:f>'Model Notes'!$B$22</xm:f>
            <x14:dxf>
              <font>
                <color rgb="FF006100"/>
              </font>
            </x14:dxf>
          </x14:cfRule>
          <xm:sqref>B33:D33</xm:sqref>
        </x14:conditionalFormatting>
        <x14:conditionalFormatting xmlns:xm="http://schemas.microsoft.com/office/excel/2006/main">
          <x14:cfRule type="cellIs" priority="6" stopIfTrue="1" operator="lessThan" id="{DC1AA882-6B7B-4910-9A1D-EEF6AB4E13ED}">
            <xm:f>'Model Notes'!$B$27</xm:f>
            <x14:dxf>
              <font>
                <color rgb="FF9C0006"/>
              </font>
            </x14:dxf>
          </x14:cfRule>
          <x14:cfRule type="cellIs" priority="7" stopIfTrue="1" operator="between" id="{C2D96A48-BDEC-42AA-A0A3-3D4EE6687616}">
            <xm:f>'Model Notes'!$B$27</xm:f>
            <xm:f>'Model Notes'!$B$26-0.000000000001</xm:f>
            <x14:dxf>
              <font>
                <color rgb="FF9C5700"/>
              </font>
            </x14:dxf>
          </x14:cfRule>
          <x14:cfRule type="cellIs" priority="8" stopIfTrue="1" operator="greaterThanOrEqual" id="{F290BE9B-558E-4D4D-89B0-6618DF24C656}">
            <xm:f>'Model Notes'!$B$26</xm:f>
            <x14:dxf>
              <font>
                <color rgb="FF006100"/>
              </font>
            </x14:dxf>
          </x14:cfRule>
          <xm:sqref>C18</xm:sqref>
        </x14:conditionalFormatting>
        <x14:conditionalFormatting xmlns:xm="http://schemas.microsoft.com/office/excel/2006/main">
          <x14:cfRule type="cellIs" priority="10" stopIfTrue="1" operator="greaterThanOrEqual" id="{A99A3FC4-4C28-4D93-BE1C-319704D0AD96}">
            <xm:f>'Model Notes'!$B$24</xm:f>
            <x14:dxf>
              <font>
                <color rgb="FF006100"/>
              </font>
            </x14:dxf>
          </x14:cfRule>
          <x14:cfRule type="cellIs" priority="11" stopIfTrue="1" operator="between" id="{6A8C277A-2992-4BB1-AD6E-1E24AB6F3112}">
            <xm:f>'Model Notes'!$B$25</xm:f>
            <xm:f>'Model Notes'!$B$24-0.000000000001</xm:f>
            <x14:dxf>
              <font>
                <color rgb="FF9C5700"/>
              </font>
            </x14:dxf>
          </x14:cfRule>
          <x14:cfRule type="cellIs" priority="12" stopIfTrue="1" operator="lessThan" id="{0BC4060E-00C6-43A2-92FD-6262ECA9B846}">
            <xm:f>'Model Notes'!$B$25</xm:f>
            <x14:dxf>
              <font>
                <color rgb="FF9C0006"/>
              </font>
            </x14:dxf>
          </x14:cfRule>
          <xm:sqref>D18</xm:sqref>
        </x14:conditionalFormatting>
        <x14:conditionalFormatting xmlns:xm="http://schemas.microsoft.com/office/excel/2006/main">
          <x14:cfRule type="cellIs" priority="14" stopIfTrue="1" operator="lessThan" id="{FA001B39-DC8E-4401-BADA-4513B3EE8232}">
            <xm:f>'Model Notes'!$B$27</xm:f>
            <x14:dxf>
              <font>
                <color rgb="FF9C0006"/>
              </font>
            </x14:dxf>
          </x14:cfRule>
          <x14:cfRule type="cellIs" priority="15" stopIfTrue="1" operator="between" id="{D2EAF75C-B000-4887-8E01-27D5E0870A32}">
            <xm:f>'Model Notes'!$B$27</xm:f>
            <xm:f>'Model Notes'!$B$26-0.000000000001</xm:f>
            <x14:dxf>
              <font>
                <color rgb="FF9C5700"/>
              </font>
            </x14:dxf>
          </x14:cfRule>
          <x14:cfRule type="cellIs" priority="16" stopIfTrue="1" operator="greaterThanOrEqual" id="{C0720FFA-9097-4626-8764-83DFCDC61024}">
            <xm:f>'Model Notes'!$B$26</xm:f>
            <x14:dxf>
              <font>
                <color rgb="FF006100"/>
              </font>
            </x14:dxf>
          </x14:cfRule>
          <xm:sqref>E18:F18</xm:sqref>
        </x14:conditionalFormatting>
      </x14:conditionalFormattings>
    </ext>
  </extLst>
</worksheet>
</file>

<file path=xl/worksheets/sheet2.xml><?xml version="1.0" encoding="UTF-8" standalone="yes"?>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mc:Ignorable="x14ac xr xr2 xr3" xmlns:x14ac="http://schemas.microsoft.com/office/spreadsheetml/2009/9/ac" xmlns:xr="http://schemas.microsoft.com/office/spreadsheetml/2014/revision" xmlns:xr2="http://schemas.microsoft.com/office/spreadsheetml/2015/revision2" xmlns:xr3="http://schemas.microsoft.com/office/spreadsheetml/2016/revision3" xr:uid="{00000000-0001-0000-0100-000000000000}"><sheetPr><tabColor rgb="FFB4C7DC"/></sheetPr><dimension ref="A1:BF128"/><sheetViews><sheetView showGridLines="0" topLeftCell="A38" workbookViewId="0"><selection activeCell="A94" sqref="A94"/></sheetView></sheetViews><sheetFormatPr baseColWidth="10" defaultColWidth="8.7109375" defaultRowHeight="15" x14ac:dyDescent="0.25"/><cols><col min="1" max="1" width="46" style="70" customWidth="1"/><col min="2" max="2" width="14" style="70" customWidth="1"/><col min="3" max="6" width="16.42578125" style="70" customWidth="1"/><col min="7" max="31" width="14" style="70" customWidth="1"/><col min="53" max="58" width="0" hidden="1" customWidth="1"/></cols><sheetData><row r="1" spans="1:58" ht="39.75" customHeight="1" x14ac:dyDescent="0.25"><c r="A1" s="264" t="s"><v>36</v></c><c r="B1" s="262"/><c r="C1" s="262"/><c r="D1" s="262"/><c r="E1" s="262"/><c r="F1" s="262"/><c r="G1" s="262"/><c r="H1" s="262"/><c r="I1" s="262"/><c r="J1" s="262"/><c r="K1" s="262"/><c r="L1" s="262"/><c r="M1" s="262"/><c r="N1" s="262"/><c r="O1" s="262"/><c r="P1" s="262"/><c r="Q1" s="262"/><c r="R1" s="262"/><c r="S1" s="262"/><c r="T1" s="262"/><c r="U1" s="262"/><c r="V1" s="262"/><c r="W1" s="262"/><c r="X1" s="262"/><c r="Y1" s="262"/><c r="Z1" s="262"/><c r="AA1" s="262"/><c r="AB1" s="262"/><c r="AC1" s="262"/><c r="AD1" s="262"/><c r="AE1" s="262"/></row><row r="2" spans="1:58" ht="15" customHeight="1" x14ac:dyDescent="0.25"><c r="A2" s="3" t="s"><v>37</v></c><c r="B2" s="4"/><c r="C2" s="3"/><c r="D2" s="3"/><c r="E2" s="3"/><c r="F2" s="3"/><c r="G2" s="3"/><c r="H2" s="3"/></row><row r="3" spans="1:58" ht="15" customHeight="1" x14ac:dyDescent="0.25"/><row r="4" spans="1:58" ht="15" customHeight="1" x14ac:dyDescent="0.25"><c r="A4" s="267" t="s"><v>38</v></c><c r="B4" s="262"/><c r="C4" s="262"/><c r="D4" s="262"/><c r="E4" s="262"/><c r="F4" s="262"/></row><row r="5" spans="1:58" ht="25.5" customHeight="1" x14ac:dyDescent="0.25"><c r="A5" s="265" t="s"><v>0</v></c><c r="B5" s="49" t="s"><v>1</v></c><c r="C5" s="49" t="s"><v>2</v></c><c r="D5" s="49" t="s"><v>3</v></c><c r="E5" s="49" t="s"><v>4</v></c><c r="F5" s="49" t="s"><v>5</v></c><c r="G5" s="49" t="s"><v>6</v></c><c r="H5" s="49" t="s"><v>7</v></c><c r="I5" s="63" t="s"><v>8</v></c><c r="J5" s="63" t="s"><v>9</v></c><c r="K5" s="63" t="s"><v>10</v></c></row><row r="6" spans="1:58" ht="21.75" customHeight="1" x14ac:dyDescent="0.25"><c r="A6" s="266"/><c r="B6" s="35"><f>B18</f><v>3.4285714285714287E-2</v></c><c r="C6" s="35"><f>B19</f><v>2.1834883108082671E-2</v></c><c r="D6" s="133"><f>B20</f><v>4.1446533799171459E-2</v></c><c r="E6" s="74"><f>B22</f><v>-4302.4047687653419</v></c><c r="F6" s="74"><f>B23</f><v>832.86005867368112</v></c><c r="G6" s="133"><f>B24</f><v>1.425035139748195E-2</v></c><c r="H6" s="134"><f>B25</f><v>0.50700706275590202</v></c><c r="I6" s="133"><f>&apos;Return Details&apos;!$C$42</f><v>2.6209601759910588E-2</v></c><c r="J6" s="74"><f>B82-B93</f><v>8700</v></c><c r="K6" s="35"><f>IFERROR(J6/B27,0)</f><v>2.4857142857142855E-2</v></c><c r="BA6" s="37"><f>B20</f><v>4.1446533799171459E-2</v></c><c r="BB6" s="37"><f>Sensitivity!C6</f><v>2.5000000000000001E-2</v></c><c r="BC6" s="37"><f>Sensitivity!D6</f><v>3.5000000000000003E-2</v></c><c r="BD6" s="37"><f>Sensitivity!E6</f><v>4.4999999999999998E-2</v></c><c r="BE6" s="37"><f>Sensitivity!F6</f><v>5.5E-2</v></c></row><row r="7" spans="1:58" ht="41.25" customHeight="1" x14ac:dyDescent="0.25"><c r="A7" s="265" t="s"><v>11</v></c><c r="B7" s="49" t="s"><v>12</v></c><c r="C7" s="49" t="s"><v>13</v></c><c r="D7" s="49" t="s"><v>39</v></c><c r="E7" s="49" t="s"><v>15</v></c><c r="F7" s="49" t="s"><v>16</v></c><c r="G7" s="49" t="s"><v>17</v></c><c r="H7" s="61" t="s"><v>18</v></c><c r="I7" s="63" t="s"><v>19</v></c><c r="J7" s="63" t="s"><v>20</v></c><c r="K7" s="63" t="s"><v>21</v></c><c r="L7" s="66" t="s"><v>22</v></c><c r="M7" s="68" t="s"><v>23</v></c><c r="BA7"><f>Sensitivity!B7</f><v>300000</v></c><c r="BB7"><f t="dataTable" ref="BB7:BE11" dt2D="1" dtr="1" r1="B65" r2="B27"/>&lt;v&gt;5.5932614207267764E-2&lt;/v&gt;&lt;/c&gt;&lt;c r=&quot;BC7&quot;&gt;&lt;v&gt;4.4320836663246155E-2&lt;/v&gt;&lt;/c&gt;&lt;c r=&quot;BD7&quot;&gt;&lt;v&gt;3.1785693764686582E-2&lt;/v&gt;&lt;/c&gt;&lt;c r=&quot;BE7&quot;&gt;&lt;v&gt;1.8397971987724308E-2&lt;/v&gt;&lt;/c&gt;&lt;/row&gt;&lt;row r=&quot;8&quot; spans=&quot;1:58&quot; ht=&quot;21.75&quot; customHeight=&quot;1&quot; x14ac:dyDescent=&quot;0.25&quot;&gt;&lt;c r=&quot;A8&quot; s=&quot;266&quot;/&gt;&lt;c r=&quot;B8&quot; s=&quot;75&quot;&gt;&lt;f&gt;B21</f><v>29.166666666666668</v></c><c r="C8" s="76"><f>B71</f><v>0.90984285714285718</v></c><c r="D8" s="77"><f>B50</f><v>398445</v></c><c r="E8" s="77"><f>B64</f><v>318445</v></c><c r="F8" s="78"><f>&apos;Exit Analysis&apos;!B18</f><v>179066.09779966265</v></c><c r="G8" s="78"><f>&apos;Exit Analysis&apos;!B21</f><v>49359.761570190109</v></c><c r="H8" s="79"><f>&apos;Return Details&apos;!$C$40</f><v>1.3929346754399534</v></c><c r="I8" s="74"><f>&apos;Equity Optimization&apos;!B12</f><v>51001.868978245533</v></c><c r="J8" s="74"><f>&apos;Equity Optimization&apos;!B21</f><v>382068.20219553821</v></c><c r="K8" s="35"><f>&apos;Equity Optimization&apos;!B22</f><v>4.7838847000187944E-2</v></c><c r="L8" s="80" t="str"><f>&apos;Equity Optimization&apos;!B40</f><v>—</v></c><c r="M8" s="81"><f ca="1">&apos;Return Details&apos;!C43</f><v>-22737.647052044304</v></c><c r="BA8"><f>Sensitivity!B8</f><v>325000</v></c><c r="BB8"><v>5.5261567234992981E-2</v></c><c r="BC8"><v>4.2837741971015919E-2</v></c><c r="BD8"><v>2.9408302903175355E-2</v></c><c r="BE8"><v>1.5049746632575987E-2</v></c></row><row r="9" spans="1:58" ht="15" customHeight="1" x14ac:dyDescent="0.25"><c r="BA9"><f>Sensitivity!B9</f><v>350000</v></c><c r="BB9"><v>5.4632380604743958E-2</v></c><c r="BC9"><v>4.1446533799171459E-2</v></c><c r="BD9"><v>2.7177503705024721E-2</v></c><c r="BE9"><v>1.1907431483268737E-2</v></c></row><row r="10" spans="1:58" ht="15" customHeight="1" x14ac:dyDescent="0.25"><c r="A10" s="261" t="s"><v>40</v></c><c r="B10" s="262"/><c r="BA10"><f>Sensitivity!B10</f><v>375000</v></c><c r="BB10"><v>5.404135286808015E-2</v></c><c r="BC10"><v>4.0139374136924741E-2</v></c><c r="BD10"><v>2.5081261992454536E-2</v></c><c r="BE10"><v>8.9547127485275282E-3</v></c></row><row r="11" spans="1:58" ht="15" customHeight="1" x14ac:dyDescent="0.25"><c r="A11" s="19" t="s"><v>41</v></c><c r="B11" s="5"><v>10</v></c><c r="BA11"><f>Sensitivity!B11</f><v>400000</v></c><c r="BB11"><v>5.3485193848609933E-2</v></c><c r="BC11"><v>3.8909223675727855E-2</v></c><c r="BD11"><v>2.3108658194541932E-2</v></c><c r="BE11"><v>6.1766892671585088E-3</v></c></row><row r="12" spans="1:58" ht="15" customHeight="1" x14ac:dyDescent="0.25"><c r="A12" s="19" t="s"><v>42</v></c><c r="B12" s="38"><v>2.5000000000000001E-2</v></c></row><row r="13" spans="1:58" ht="15" customHeight="1" x14ac:dyDescent="0.25"><c r="A13" s="19" t="s"><v>43</v></c><c r="B13" s="82"><f>&apos;Exit Analysis&apos;!B52</f><v>448029.59046872496</v></c></row><row r="14" spans="1:58" ht="15" customHeight="1" x14ac:dyDescent="0.25"><c r="A14" s="19" t="s"><v>44</v></c><c r="B14" s="82"><f>HLOOKUP(&quot;Year &quot;&amp;B11,$B$104:$AE$113,10,FALSE())</f><v>246562.01314562609</v></c></row><row r="15" spans="1:58" ht="15" customHeight="1" x14ac:dyDescent="0.25"><c r="A15" s="19" t="s"><v>45</v></c><c r="B15" s="82"><f>&apos;Exit Analysis&apos;!B21</f><v>49359.761570190109</v></c><c r="BA15" s="37"><f>B20</f><v>4.1446533799171459E-2</v></c><c r="BB15"><f>Sensitivity!C15</f><v>10</v></c><c r="BC15"><f>Sensitivity!D15</f><v>11.25</v></c><c r="BD15"><f>Sensitivity!E15</f><v>12.5</v></c><c r="BE15"><f>Sensitivity!F15</f><v>13.75</v></c><c r="BF15"><f>Sensitivity!G15</f><v>15</v></c></row><row r="16" spans="1:58" ht="15" customHeight="1" x14ac:dyDescent="0.25"><c r="A16" s="17" t="s"><v>46</v></c><c r="B16" s="39"><v>2.5000000000000001E-2</v></c><c r="BA16"><f>Sensitivity!B16</f><v>300000</v></c><c r="BB16"><f t="dataTable" ref="BB16:BF20" dt2D="1" dtr="1" r1="B77" r2="B27" ca="1"/>&lt;v&gt;3.0715337395668032E-2&lt;/v&gt;&lt;/c&gt;&lt;c r=&quot;BC16&quot;&gt;&lt;v&gt;3.7497732043266313E-2&lt;/v&gt;&lt;/c&gt;&lt;c r=&quot;BD16&quot;&gt;&lt;v&gt;4.4320836663246155E-2&lt;/v&gt;&lt;/c&gt;&lt;c r=&quot;BE16&quot;&gt;&lt;v&gt;5.118485987186433E-2&lt;/v&gt;&lt;/c&gt;&lt;c r=&quot;BF16&quot;&gt;&lt;v&gt;5.8089968562126157E-2&lt;/v&gt;&lt;/c&gt;&lt;/row&gt;&lt;row r=&quot;17&quot; spans=&quot;1:58&quot; ht=&quot;15&quot; customHeight=&quot;1&quot; x14ac:dyDescent=&quot;0.25&quot;&gt;&lt;c r=&quot;A17&quot; s=&quot;261&quot; t=&quot;s&quot;&gt;&lt;v&gt;47&lt;/v&gt;&lt;/c&gt;&lt;c r=&quot;B17&quot; s=&quot;262&quot;/&gt;&lt;c r=&quot;BA17&quot;&gt;&lt;f&gt;Sensitivity!B17</f><v>325000</v></c><c r="BB17"><v>2.9680088162422177E-2</v></c><c r="BC17"><v>3.6237940192222595E-2</v></c><c r="BD17"><v>4.2837741971015919E-2</v></c><c r="BE17"><v>4.947979152202607E-2</v></c><c r="BF17"><v>5.6164339184761047E-2</v></c></row><row r="18" spans="1:58" ht="15" customHeight="1" x14ac:dyDescent="0.25"><c r="A18" s="19" t="s"><v>1</v></c><c r="B18" s="135"><f>(B78*12)/B27</f><v>3.4285714285714287E-2</v></c><c r="C18" s="37"/><c r="D18" s="37"/><c r="BA18"><f>Sensitivity!B18</f><v>350000</v></c><c r="BB18"><v>2.8710779547691346E-2</v></c><c r="BC18"><v>3.505730330944061E-2</v></c><c r="BD18"><v>4.1446533799171459E-2</v></c><c r="BE18"><v>4.7878846526145935E-2</v></c><c r="BF18"><v>5.4354569315910345E-2</v></c></row><row r="19" spans="1:58" ht="15" customHeight="1" x14ac:dyDescent="0.25"><c r="A19" s="19" t="s"><v>2</v></c><c r="B19" s="135"><f>(B82-B93)/B50</f><v>2.1834883108082671E-2</v></c><c r="C19" s="37"/><c r="D19" s="37"/><c r="BA19"><f>Sensitivity!B19</f><v>375000</v></c><c r="BB19"><v>2.7801510691642762E-2</v></c><c r="BC19"><v>3.3948901295661929E-2</v></c><c r="BD19"><v>4.0139374136924741E-2</v></c><c r="BE19"><v>4.6373358368873602E-2</v></c><c r="BF19"><v>5.2651259303092959E-2</v></c></row><row r="20" spans="1:58" ht="15" customHeight="1" x14ac:dyDescent="0.25"><c r="A20" s="19" t="s"><v>48</v></c><c r="B20" s="135"><f>&apos;Return Details&apos;!$C$39</f><v>4.1446533799171459E-2</v></c><c r="C20" s="37"/><c r="D20" s="37"/><c r="BA20"><f>Sensitivity!B20</f><v>400000</v></c><c r="BB20"><v>2.6947054266929626E-2</v></c><c r="BC20"><v>3.2906565070152285E-2</v></c><c r="BD20"><v>3.8909223675727855E-2</v></c><c r="BE20"><v>4.495552480220795E-2</v></c><c r="BF20"><v>5.1045909523963942E-2</v></c></row><row r="21" spans="1:58" ht="15" customHeight="1" x14ac:dyDescent="0.25"><c r="A21" s="19" t="s"><v>49</v></c><c r="B21" s="83"><f>B27/(B78*12)</f><v>29.166666666666668</v></c></row><row r="22" spans="1:58" ht="15" customHeight="1" x14ac:dyDescent="0.25"><c r="A22" s="6" t="s"><v>50</v></c><c r="B22" s="136"><f>IFERROR(&apos;Real Value Analysis&apos;!B19/B11,&quot;—&quot;)</f><v>-4302.4047687653419</v></c><c r="C22" s="16"/><c r="D22" s="84"/></row><row r="23" spans="1:58" ht="15" customHeight="1" x14ac:dyDescent="0.25"><c r="A23" s="19" t="s"><v>51</v></c><c r="B23" s="85"><f>IFERROR((($B$93-$B$87)+($B$87+$B$111-$B$100*($B$107+$B$99+$B$101+$B$58))/(1-$B$100))/(1-$B$80)/12,0)</f><v>832.86005867368112</v></c></row><row r="24" spans="1:58" ht="15" customHeight="1" x14ac:dyDescent="0.25"><c r="A24" s="19" t="s"><v>52</v></c><c r="B24" s="135"><f>IFERROR($B$112/$B$63,&quot;—&quot;)</f><v>1.425035139748195E-2</v></c><c r="BA24" s="37"><f>B20</f><v>4.1446533799171459E-2</v></c><c r="BB24" s="37"><f>Sensitivity!C24</f><v>0.03</v></c><c r="BC24" s="37"><f>Sensitivity!D24</f><v>0.04</v></c><c r="BD24" s="37"><f>Sensitivity!E24</f><v>0.05</v></c><c r="BE24" s="37"><f>Sensitivity!F24</f><v>0.06</v></c></row><row r="25" spans="1:58" ht="15" customHeight="1" x14ac:dyDescent="0.25"><c r="A25" s="19" t="s"><v>53</v></c><c r="B25" s="137"><f>IFERROR(($B$82-$B$93)/$B$111,&quot;—&quot;)</f><v>0.50700706275590202</v></c><c r="BA25" s="37"><f>Sensitivity!B25</f><v>0</v></c><c r="BB25"><f t="dataTable" ref="BB25:BE29" dt2D="1" dtr="1" r1="B73" r2="B12" ca="1"/>&lt;v&gt;-5.398168861865997E-2&lt;/v&gt;&lt;/c&gt;&lt;c r=&quot;BC25&quot;&gt;&lt;v&gt;-5.398168861865997E-2&lt;/v&gt;&lt;/c&gt;&lt;c r=&quot;BD25&quot;&gt;&lt;v&gt;-5.398168861865997E-2&lt;/v&gt;&lt;/c&gt;&lt;c r=&quot;BE25&quot;&gt;&lt;v&gt;-5.398168861865997E-2&lt;/v&gt;&lt;/c&gt;&lt;/row&gt;&lt;row r=&quot;26&quot; spans=&quot;1:58&quot; ht=&quot;15&quot; customHeight=&quot;1&quot; x14ac:dyDescent=&quot;0.25&quot;&gt;&lt;c r=&quot;A26&quot; s=&quot;261&quot; t=&quot;s&quot;&gt;&lt;v&gt;54&lt;/v&gt;&lt;/c&gt;&lt;c r=&quot;B26&quot; s=&quot;262&quot;/&gt;&lt;c r=&quot;C26&quot; s=&quot;16&quot;/&gt;&lt;c r=&quot;D26&quot; s=&quot;16&quot;/&gt;&lt;c r=&quot;BA26&quot; s=&quot;37&quot;&gt;&lt;f&gt;Sensitivity!B26</f><v>1.4999999999999999E-2</v></c><c r="BB26"><v>9.2271655797958388E-3</v></c><c r="BC26"><v>9.2271655797958388E-3</v></c><c r="BD26"><v>9.2271655797958388E-3</v></c><c r="BE26"><v>9.2271655797958388E-3</v></c></row><row r="27" spans="1:58" ht="15" customHeight="1" x14ac:dyDescent="0.25"><c r="A27" s="19" t="s"><v>55</v></c><c r="B27" s="86"><v>350000</v></c><c r="BA27" s="37"><f>Sensitivity!B27</f><v>2.5000000000000001E-2</v></c><c r="BB27"><v>4.1446533799171459E-2</v></c><c r="BC27"><v>4.1446533799171459E-2</v></c><c r="BD27"><v>4.1446533799171459E-2</v></c><c r="BE27"><v>4.1446533799171459E-2</v></c></row><row r="28" spans="1:58" ht="15" customHeight="1" x14ac:dyDescent="0.25"><c r="A28" s="19" t="s"><v>56</v></c><c r="B28" s="5"><v>80</v></c><c r="BA28" s="37"><f>Sensitivity!B28</f><v>3.5000000000000003E-2</v></c><c r="BB28"><v>6.9195899367332461E-2</v></c><c r="BC28"><v>6.9195899367332461E-2</v></c><c r="BD28"><v>6.9195899367332461E-2</v></c><c r="BE28"><v>6.9195899367332461E-2</v></c></row><row r="29" spans="1:58" ht="15" customHeight="1" x14ac:dyDescent="0.25"><c r="A29" s="19" t="s"><v>57</v></c><c r="B29" s="87"><f>IF(B28&gt;0,B27/B28,0)</f><v>4375</v></c><c r="BA29" s="37"><f>Sensitivity!B29</f><v>0.05</v></c><c r="BB29"><v>0.10534586310386657</v></c><c r="BC29"><v>0.10534586310386657</v></c><c r="BD29"><v>0.10534586310386657</v></c><c r="BE29"><v>0.10534586310386657</v></c></row><row r="30" spans="1:58" ht="15" customHeight="1" x14ac:dyDescent="0.25"><c r="A30" s="19" t="s"><v>58</v></c><c r="B30" s="5"><v>200</v></c></row><row r="31" spans="1:58" ht="15" customHeight="1" x14ac:dyDescent="0.25"><c r="A31" s="19" t="s"><v>59</v></c><c r="B31" s="7"><v>2005</v></c></row><row r="32" spans="1:58" ht="15" customHeight="1" x14ac:dyDescent="0.25"><c r="A32" s="19" t="s"><v>60</v></c><c r="B32" s="8" t="s"><v>61</v></c></row><row r="33" spans="1:2" ht="15" customHeight="1" x14ac:dyDescent="0.25"><c r="A33" s="19" t="s"><v>62</v></c><c r="B33" s="8" t="s"><v>63</v></c></row><row r="34" spans="1:2" ht="15" customHeight="1" x14ac:dyDescent="0.25"><c r="A34" s="19" t="s"><v>64</v></c><c r="B34" s="8" t="s"><v>65</v></c></row><row r="35" spans="1:2" ht="15" customHeight="1" x14ac:dyDescent="0.25"/><row r="36" spans="1:2" ht="15" customHeight="1" x14ac:dyDescent="0.25"><c r="A36" s="261" t="s"><v>66</v></c><c r="B36" s="262"/></row><row r="37" spans="1:2" ht="15" customHeight="1" x14ac:dyDescent="0.25"><c r="A37" s="19" t="s"><v>67</v></c><c r="B37" s="38"><v>3.5000000000000003E-2</v></c></row><row r="38" spans="1:2" ht="15" customHeight="1" x14ac:dyDescent="0.25"><c r="A38" s="19" t="s"><v>68</v></c><c r="B38" s="82"><f>B27*B37</f><v>12250.000000000002</v></c></row><row r="39" spans="1:2" ht="15" customHeight="1" x14ac:dyDescent="0.25"><c r="A39" s="19" t="s"><v>69</v></c><c r="B39" s="38"><v>1.4999999999999999E-2</v></c></row><row r="40" spans="1:2" ht="15" customHeight="1" x14ac:dyDescent="0.25"><c r="A40" s="19" t="s"><v>70</v></c><c r="B40" s="82"><f>B27*B39</f><v>5250</v></c></row><row r="41" spans="1:2" ht="15" customHeight="1" x14ac:dyDescent="0.25"><c r="A41" s="19" t="s"><v>71</v></c><c r="B41" s="38"><v>5.0000000000000001E-3</v></c></row><row r="42" spans="1:2" ht="15" customHeight="1" x14ac:dyDescent="0.25"><c r="A42" s="19" t="s"><v>72</v></c><c r="B42" s="82"><f>B27*B41</f><v>1750</v></c></row><row r="43" spans="1:2" ht="15" customHeight="1" x14ac:dyDescent="0.25"><c r="A43" s="19" t="s"><v>73</v></c><c r="B43" s="38"><v>3.5700000000000003E-2</v></c></row><row r="44" spans="1:2" ht="15" customHeight="1" x14ac:dyDescent="0.25"><c r="A44" s="19" t="s"><v>74</v></c><c r="B44" s="82"><f>B27*B43</f><v>12495</v></c></row><row r="45" spans="1:2" ht="15" customHeight="1" x14ac:dyDescent="0.25"><c r="A45" s="19" t="s"><v>75</v></c><c r="B45" s="88"><v>1200</v></c></row><row r="46" spans="1:2" ht="15" customHeight="1" x14ac:dyDescent="0.25"><c r="A46" s="19" t="s"><v>76</v></c><c r="B46" s="88"><v>15000</v></c></row><row r="47" spans="1:2" ht="15" customHeight="1" x14ac:dyDescent="0.25"><c r="A47" s="19" t="s"><v>77</v></c><c r="B47" s="88"><v>500</v></c></row><row r="48" spans="1:2" ht="15" customHeight="1" x14ac:dyDescent="0.25"><c r="A48" s="19" t="s"><v>78</v></c><c r="B48" s="89"><f>SUM(B38,B40,B42,B44,B45,B46,B47)</f><v>48445</v></c></row><row r="49" spans="1:5" ht="15" customHeight="1" x14ac:dyDescent="0.25"><c r="A49" s="19" t="s"><v>79</v></c><c r="B49" s="40"><f>IF(B27&gt;0,B48/B27,0)</f><v>0.13841428571428571</v></c></row><row r="50" spans="1:5" ht="15" customHeight="1" x14ac:dyDescent="0.25"><c r="A50" s="19" t="s"><v>80</v></c><c r="B50" s="73"><f>B27+B48</f><v>398445</v></c></row><row r="51" spans="1:5" ht="12" customHeight="1" x14ac:dyDescent="0.25"><c r="A51" s="262"/><c r="B51" s="262"/></row><row r="52" spans="1:5" ht="15" customHeight="1" x14ac:dyDescent="0.25"><c r="A52" s="261" t="s"><v>81</v></c><c r="B52" s="262"/></row><row r="53" spans="1:5" ht="15" customHeight="1" x14ac:dyDescent="0.25"><c r="A53" s="51" t="s"><v>82</v></c><c r="B53" s="90"><f>IFERROR($B$46/(1+$B$60),$B$46)</f><v>15000</v></c></row><row r="54" spans="1:5" ht="15" customHeight="1" x14ac:dyDescent="0.25"><c r="A54" s="51" t="s"><v>83</v></c><c r="B54" s="90"><f>($B$27+$B$38+$B$40+$B$42+$B$44)*$B$96</f><v>305396</v></c></row><row r="55" spans="1:5" ht="27.75" customHeight="1" x14ac:dyDescent="0.25"><c r="A55" s="51" t="s"><v>84</v></c><c r="B55" s="52"><f>IFERROR($B$53/$B$54,&quot;—&quot;)</f><v>4.9116556863875102E-2</v></c></row><row r="56" spans="1:5" ht="15" customHeight="1" x14ac:dyDescent="0.25"><c r="A56" s="51" t="s"><v>85</v></c><c r="B56" s="91"><f>15%*$B$54</f><v>45809.4</v></c></row><row r="57" spans="1:5" ht="30" customHeight="1" x14ac:dyDescent="0.25"><c r="A57" s="53" t="str"><f>IF(IFERROR($B$53/$B$54,0)&gt;15%,&quot;⚠ Acquisition-related capital expenditure: capitalize the renovation and depreciate it&quot;,&quot;✓ Below the 15% threshold; immediate deduction applies only to qualifying maintenance expense&quot;)</f><v>✓ Below the 15% threshold; immediate deduction applies only to qualifying maintenance expense</v></c><c r="B57" s="92"/><c r="C57" s="15"/><c r="E57" s="15"/></row><row r="58" spans="1:5" ht="15" customHeight="1" x14ac:dyDescent="0.25"><c r="A58" s="51" t="s"><v>86</v></c><c r="B58" s="90"><f>IF(IFERROR($B$53/$B$54,0)&gt;15%,0,$B$46)</f><v>15000</v></c></row><row r="59" spans="1:5" ht="15" customHeight="1" x14ac:dyDescent="0.25"><c r="A59" s="51" t="s"><v>87</v></c><c r="B59" s="90"><f>IF(IFERROR($B$53/$B$54,0)&gt;15%,$B$46,0)</f><v>0</v></c></row><row r="60" spans="1:5" ht="15" customHeight="1" x14ac:dyDescent="0.25"><c r="A60" s="263"/><c r="B60" s="263"/></row><row r="61" spans="1:5" ht="15" customHeight="1" x14ac:dyDescent="0.25"><c r="A61" s="261" t="s"><v>88</v></c><c r="B61" s="262"/></row><row r="62" spans="1:5" ht="15" customHeight="1" x14ac:dyDescent="0.25"><c r="A62" s="19" t="s"><v>89</v></c><c r="B62" s="36"><f>B63/B50</f><v>0.20078053432719697</v></c></row><row r="63" spans="1:5" ht="15" customHeight="1" x14ac:dyDescent="0.25"><c r="A63" s="19" t="s"><v>90</v></c><c r="B63" s="93"><v>80000</v></c></row><row r="64" spans="1:5" ht="15" customHeight="1" x14ac:dyDescent="0.25"><c r="A64" s="19" t="s"><v>15</v></c><c r="B64" s="82"><f>B50-B63</f><v>318445</v></c></row><row r="65" spans="1:3" ht="15" customHeight="1" x14ac:dyDescent="0.25"><c r="A65" s="19" t="s"><v>91</v></c><c r="B65" s="38"><v>3.5000000000000003E-2</v></c></row><row r="66" spans="1:3" ht="15" customHeight="1" x14ac:dyDescent="0.25"><c r="A66" s="19" t="s"><v>92</v></c><c r="B66" s="36"><f>IFERROR((B68-B64*B65)/B64,0)</f><v>1.8885362537058935E-2</v></c></row><row r="67" spans="1:3" ht="15" customHeight="1" x14ac:dyDescent="0.25"><c r="A67" s="19" t="s"><v>93</v></c><c r="B67" s="87"><f>IFERROR(PMT(B65/12,B70*12,-B64),0)</f><v>1429.9603560928113</v></c><c r="C67" s="20"/></row><row r="68" spans="1:3" ht="15" customHeight="1" x14ac:dyDescent="0.25"><c r="A68" s="19" t="s"><v>94</v></c><c r="B68" s="82"><f>B67*12</f><v>17159.524273113733</v></c></row><row r="69" spans="1:3" ht="15" customHeight="1" x14ac:dyDescent="0.25"><c r="A69" s="19" t="s"><v>95</v></c><c r="B69" s="5"><v>10</v></c></row><row r="70" spans="1:3" ht="15" customHeight="1" x14ac:dyDescent="0.25"><c r="A70" s="19" t="s"><v>96</v></c><c r="B70" s="5"><v>30</v></c><c r="C70" s="71"/></row><row r="71" spans="1:3" ht="15" customHeight="1" x14ac:dyDescent="0.25"><c r="A71" s="19" t="s"><v>97</v></c><c r="B71" s="36"><f>IF(B27&gt;0,B64/B27,0)</f><v>0.90984285714285718</v></c></row><row r="72" spans="1:3" ht="15" customHeight="1" x14ac:dyDescent="0.25"><c r="A72" s="19" t="s"><v>98</v></c><c r="B72" s="18"><v>0</v></c><c r="C72" s="71"/></row><row r="73" spans="1:3" ht="15" customHeight="1" x14ac:dyDescent="0.25"><c r="A73" s="19" t="s"><v>99</v></c><c r="B73" s="38"><v>0.04</v></c></row><row r="74" spans="1:3" ht="15" customHeight="1" x14ac:dyDescent="0.25"><c r="A74" s="19" t="s"><v>100</v></c><c r="B74" s="73"><f>IF($B$72=1,IFERROR(INDEX(&apos;Amortization Schedule&apos;!$I$4:$I$603,$B$69*12)/MAX($B$70-$B$69,1),0),0)</f><v>0</v></c></row><row r="75" spans="1:3" ht="12" customHeight="1" x14ac:dyDescent="0.25"/><row r="76" spans="1:3" ht="15" customHeight="1" x14ac:dyDescent="0.25"><c r="A76" s="261" t="s"><v>101</v></c><c r="B76" s="262"/></row><row r="77" spans="1:3" ht="15" customHeight="1" x14ac:dyDescent="0.25"><c r="A77" s="19" t="s"><v>102</v></c><c r="B77" s="94"><v>12.5</v></c></row><row r="78" spans="1:3" ht="15" customHeight="1" x14ac:dyDescent="0.25"><c r="A78" s="19" t="s"><v>103</v></c><c r="B78" s="95"><f>B28*B77</f><v>1000</v></c></row><row r="79" spans="1:3" ht="15" customHeight="1" x14ac:dyDescent="0.25"><c r="A79" s="19" t="s"><v>104</v></c><c r="B79" s="88"><v>1200</v></c></row><row r="80" spans="1:3" ht="15" customHeight="1" x14ac:dyDescent="0.25"><c r="A80" s="19" t="s"><v>105</v></c><c r="B80" s="38"><v>0.02</v></c></row><row r="81" spans="1:2" ht="15" customHeight="1" x14ac:dyDescent="0.25"><c r="A81" s="19" t="s"><v>106</v></c><c r="B81" s="82"><f>B78*12*B80</f><v>240</v></c></row><row r="82" spans="1:2" ht="15" customHeight="1" x14ac:dyDescent="0.25"><c r="A82" s="19" t="s"><v>107</v></c><c r="B82" s="82"><f>(B78*12)-B81</f><v>11760</v></c></row><row r="83" spans="1:2" ht="15" customHeight="1" x14ac:dyDescent="0.25"><c r="A83" s="19" t="s"><v>108</v></c><c r="B83" s="42"><v>0.02</v></c></row><row r="84" spans="1:2" ht="15" customHeight="1" x14ac:dyDescent="0.25"><c r="A84" s="213" t="s"><v>505</v></c><c r="B84" s="214"><v>13.5</v></c></row><row r="85" spans="1:2" ht="15" customHeight="1" x14ac:dyDescent="0.25"><c r="A85" s="261" t="s"><v>109</v></c><c r="B85" s="262"/></row><row r="86" spans="1:2" ht="15" customHeight="1" x14ac:dyDescent="0.25"><c r="A86" s="19" t="s"><v>110</v></c><c r="B86" s="88"><v>30</v></c></row><row r="87" spans="1:2" ht="15" customHeight="1" x14ac:dyDescent="0.25"><c r="A87" s="19" t="s"><v>111</v></c><c r="B87" s="88"><v>800</v></c></row><row r="88" spans="1:2" ht="15" customHeight="1" x14ac:dyDescent="0.25"><c r="A88" s="19" t="s"><v>112</v></c><c r="B88" s="88"><v>400</v></c></row><row r="89" spans="1:2" ht="15" customHeight="1" x14ac:dyDescent="0.25"><c r="A89" s="19" t="s"><v>113</v></c><c r="B89" s="88"><v>250</v></c></row><row r="90" spans="1:2" ht="15" customHeight="1" x14ac:dyDescent="0.25"><c r="A90" s="19" t="s"><v>114</v></c><c r="B90" s="88"><v>300</v></c></row><row r="91" spans="1:2" ht="15" customHeight="1" x14ac:dyDescent="0.25"><c r="A91" s="19" t="s"><v>115</v></c><c r="B91" s="88"><v>200</v></c></row><row r="92" spans="1:2" ht="15" customHeight="1" x14ac:dyDescent="0.25"><c r="A92" s="19" t="s"><v>116</v></c><c r="B92" s="88"><v>150</v></c></row><row r="93" spans="1:2" ht="15" customHeight="1" x14ac:dyDescent="0.25"><c r="A93" s="19" t="s"><v>117</v></c><c r="B93" s="73"><f>(B86*12)+B87+B88+B89+B90+B91+B92+HOA!B8</f><v>3060</v></c></row><row r="94" spans="1:2" ht="15" customHeight="1" x14ac:dyDescent="0.25"><c r="A94" s="186" t="s"><v>458</v></c></row><row r="95" spans="1:2" ht="15" customHeight="1" x14ac:dyDescent="0.25"><c r="A95" s="261" t="s"><v>118</v></c><c r="B95" s="262"/></row><row r="96" spans="1:2" ht="15" customHeight="1" x14ac:dyDescent="0.25"><c r="A96" s="19" t="s"><v>119</v></c><c r="B96" s="38"><v>0.8</v></c></row><row r="97" spans="1:31" ht="15" customHeight="1" x14ac:dyDescent="0.25"><c r="A97" s="19" t="s"><v>120</v></c><c r="B97" s="96"><f>$B$54+$B$59</f><v>305396</v></c></row><row r="98" spans="1:31" ht="15" customHeight="1" x14ac:dyDescent="0.25"><c r="A98" s="19" t="s"><v>121</v></c><c r="B98" s="38"><v>0.02</v></c></row><row r="99" spans="1:31" ht="15" customHeight="1" x14ac:dyDescent="0.25"><c r="A99" s="19" t="s"><v>122</v></c><c r="B99" s="96"><f>B97*B98</f><v>6107.92</v></c></row><row r="100" spans="1:31" ht="15" customHeight="1" x14ac:dyDescent="0.25"><c r="A100" s="19" t="s"><v>123</v></c><c r="B100" s="38"><v>0.42</v></c></row><row r="101" spans="1:31" ht="15" customHeight="1" x14ac:dyDescent="0.25"><c r="A101" s="19" t="s"><v>124</v></c><c r="B101" s="88"><v>200</v></c></row><row r="102" spans="1:31" ht="15" customHeight="1" x14ac:dyDescent="0.25"><c r="A102" s="186" t="s"><v>484</v></c></row><row r="103" spans="1:31" ht="15" customHeight="1" x14ac:dyDescent="0.25"/><row r="104" spans="1:31" ht="15" customHeight="1" x14ac:dyDescent="0.25"><c r="A104" s="9" t="s"><v>125</v></c><c r="B104" s="10" t="s"><v>126</v></c><c r="C104" s="10" t="s"><v>127</v></c><c r="D104" s="10" t="s"><v>128</v></c><c r="E104" s="10" t="s"><v>129</v></c><c r="F104" s="10" t="s"><v>130</v></c><c r="G104" s="10" t="s"><v>131</v></c><c r="H104" s="10" t="s"><v>132</v></c><c r="I104" s="10" t="s"><v>133</v></c><c r="J104" s="10" t="s"><v>134</v></c><c r="K104" s="10" t="s"><v>135</v></c><c r="L104" s="10" t="s"><v>136</v></c><c r="M104" s="10" t="s"><v>137</v></c><c r="N104" s="10" t="s"><v>138</v></c><c r="O104" s="10" t="s"><v>139</v></c><c r="P104" s="10" t="s"><v>140</v></c><c r="Q104" s="10" t="s"><v>141</v></c><c r="R104" s="10" t="s"><v>142</v></c><c r="S104" s="10" t="s"><v>143</v></c><c r="T104" s="10" t="s"><v>144</v></c><c r="U104" s="10" t="s"><v>145</v></c><c r="V104" s="10" t="s"><v>146</v></c><c r="W104" s="10" t="s"><v>147</v></c><c r="X104" s="10" t="s"><v>148</v></c><c r="Y104" s="10" t="s"><v>149</v></c><c r="Z104" s="10" t="s"><v>150</v></c><c r="AA104" s="10" t="s"><v>151</v></c><c r="AB104" s="10" t="s"><v>152</v></c><c r="AC104" s="10" t="s"><v>153</v></c><c r="AD104" s="10" t="s"><v>154</v></c><c r="AE104" s="10" t="s"><v>155</v></c></row><row r="105" spans="1:31" ht="15" customHeight="1" x14ac:dyDescent="0.25"><c r="A105" s="19" t="s"><v>156</v></c><c r="B105" s="82"><f>B82</f><v>11760</v></c><c r="C105" s="82"><f t="shared" ref="C105:AE105" si="0">B105*(1+$B$83)</f><v>11995.2</v></c><c r="D105" s="82"><f t="shared" si="0"/>&lt;v&gt;12235.104000000001&lt;/v&gt;&lt;/c&gt;&lt;c r=&quot;E105&quot; s=&quot;82&quot;&gt;&lt;f t=&quot;shared&quot; si=&quot;0&quot;/&gt;&lt;v&gt;12479.806080000002&lt;/v&gt;&lt;/c&gt;&lt;c r=&quot;F105&quot; s=&quot;82&quot;&gt;&lt;f t=&quot;shared&quot; si=&quot;0&quot;/&gt;&lt;v&gt;12729.402201600002&lt;/v&gt;&lt;/c&gt;&lt;c r=&quot;G105&quot; s=&quot;82&quot;&gt;&lt;f t=&quot;shared&quot; si=&quot;0&quot;/&gt;&lt;v&gt;12983.990245632001&lt;/v&gt;&lt;/c&gt;&lt;c r=&quot;H105&quot; s=&quot;82&quot;&gt;&lt;f t=&quot;shared&quot; si=&quot;0&quot;/&gt;&lt;v&gt;13243.670050544642&lt;/v&gt;&lt;/c&gt;&lt;c r=&quot;I105&quot; s=&quot;82&quot;&gt;&lt;f t=&quot;shared&quot; si=&quot;0&quot;/&gt;&lt;v&gt;13508.543451555535&lt;/v&gt;&lt;/c&gt;&lt;c r=&quot;J105&quot; s=&quot;82&quot;&gt;&lt;f t=&quot;shared&quot; si=&quot;0&quot;/&gt;&lt;v&gt;13778.714320586647&lt;/v&gt;&lt;/c&gt;&lt;c r=&quot;K105&quot; s=&quot;82&quot;&gt;&lt;f t=&quot;shared&quot; si=&quot;0&quot;/&gt;&lt;v&gt;14054.28860699838&lt;/v&gt;&lt;/c&gt;&lt;c r=&quot;L105&quot; s=&quot;82&quot;&gt;&lt;f t=&quot;shared&quot; si=&quot;0&quot;/&gt;&lt;v&gt;14335.374379138348&lt;/v&gt;&lt;/c&gt;&lt;c r=&quot;M105&quot; s=&quot;82&quot;&gt;&lt;f t=&quot;shared&quot; si=&quot;0&quot;/&gt;&lt;v&gt;14622.081866721115&lt;/v&gt;&lt;/c&gt;&lt;c r=&quot;N105&quot; s=&quot;82&quot;&gt;&lt;f t=&quot;shared&quot; si=&quot;0&quot;/&gt;&lt;v&gt;14914.523504055538&lt;/v&gt;&lt;/c&gt;&lt;c r=&quot;O105&quot; s=&quot;82&quot;&gt;&lt;f t=&quot;shared&quot; si=&quot;0&quot;/&gt;&lt;v&gt;15212.813974136649&lt;/v&gt;&lt;/c&gt;&lt;c r=&quot;P105&quot; s=&quot;82&quot;&gt;&lt;f t=&quot;shared&quot; si=&quot;0&quot;/&gt;&lt;v&gt;15517.070253619382&lt;/v&gt;&lt;/c&gt;&lt;c r=&quot;Q105&quot; s=&quot;82&quot;&gt;&lt;f t=&quot;shared&quot; si=&quot;0&quot;/&gt;&lt;v&gt;15827.41165869177&lt;/v&gt;&lt;/c&gt;&lt;c r=&quot;R105&quot; s=&quot;82&quot;&gt;&lt;f t=&quot;shared&quot; si=&quot;0&quot;/&gt;&lt;v&gt;16143.959891865605&lt;/v&gt;&lt;/c&gt;&lt;c r=&quot;S105&quot; s=&quot;82&quot;&gt;&lt;f t=&quot;shared&quot; si=&quot;0&quot;/&gt;&lt;v&gt;16466.839089702917&lt;/v&gt;&lt;/c&gt;&lt;c r=&quot;T105&quot; s=&quot;82&quot;&gt;&lt;f t=&quot;shared&quot; si=&quot;0&quot;/&gt;&lt;v&gt;16796.175871496976&lt;/v&gt;&lt;/c&gt;&lt;c r=&quot;U105&quot; s=&quot;82&quot;&gt;&lt;f t=&quot;shared&quot; si=&quot;0&quot;/&gt;&lt;v&gt;17132.099388926916&lt;/v&gt;&lt;/c&gt;&lt;c r=&quot;V105&quot; s=&quot;82&quot;&gt;&lt;f t=&quot;shared&quot; si=&quot;0&quot;/&gt;&lt;v&gt;17474.741376705453&lt;/v&gt;&lt;/c&gt;&lt;c r=&quot;W105&quot; s=&quot;82&quot;&gt;&lt;f t=&quot;shared&quot; si=&quot;0&quot;/&gt;&lt;v&gt;17824.236204239562&lt;/v&gt;&lt;/c&gt;&lt;c r=&quot;X105&quot; s=&quot;82&quot;&gt;&lt;f t=&quot;shared&quot; si=&quot;0&quot;/&gt;&lt;v&gt;18180.720928324354&lt;/v&gt;&lt;/c&gt;&lt;c r=&quot;Y105&quot; s=&quot;82&quot;&gt;&lt;f t=&quot;shared&quot; si=&quot;0&quot;/&gt;&lt;v&gt;18544.335346890843&lt;/v&gt;&lt;/c&gt;&lt;c r=&quot;Z105&quot; s=&quot;82&quot;&gt;&lt;f t=&quot;shared&quot; si=&quot;0&quot;/&gt;&lt;v&gt;18915.22205382866&lt;/v&gt;&lt;/c&gt;&lt;c r=&quot;AA105&quot; s=&quot;82&quot;&gt;&lt;f t=&quot;shared&quot; si=&quot;0&quot;/&gt;&lt;v&gt;19293.526494905233&lt;/v&gt;&lt;/c&gt;&lt;c r=&quot;AB105&quot; s=&quot;82&quot;&gt;&lt;f t=&quot;shared&quot; si=&quot;0&quot;/&gt;&lt;v&gt;19679.397024803337&lt;/v&gt;&lt;/c&gt;&lt;c r=&quot;AC105&quot; s=&quot;82&quot;&gt;&lt;f t=&quot;shared&quot; si=&quot;0&quot;/&gt;&lt;v&gt;20072.984965299405&lt;/v&gt;&lt;/c&gt;&lt;c r=&quot;AD105&quot; s=&quot;82&quot;&gt;&lt;f t=&quot;shared&quot; si=&quot;0&quot;/&gt;&lt;v&gt;20474.444664605395&lt;/v&gt;&lt;/c&gt;&lt;c r=&quot;AE105&quot; s=&quot;82&quot;&gt;&lt;f t=&quot;shared&quot; si=&quot;0&quot;/&gt;&lt;v&gt;20883.933557897504&lt;/v&gt;&lt;/c&gt;&lt;/row&gt;&lt;row r=&quot;106&quot; spans=&quot;1:31&quot; ht=&quot;15&quot; customHeight=&quot;1&quot; x14ac:dyDescent=&quot;0.25&quot;&gt;&lt;c r=&quot;A106&quot; s=&quot;19&quot; t=&quot;s&quot;&gt;&lt;v&gt;157&lt;/v&gt;&lt;/c&gt;&lt;c r=&quot;B106&quot; s=&quot;82&quot;&gt;&lt;f&gt;B93</f><v>3060</v></c><c r="C106" s="82"><f t="shared" ref="C106:AE106" si="1">B106*(1+$B$16)</f><v>3136.4999999999995</v></c><c r="D106" s="82"><f t="shared" si="1"/>&lt;v&gt;3214.9124999999995&lt;/v&gt;&lt;/c&gt;&lt;c r=&quot;E106&quot; s=&quot;82&quot;&gt;&lt;f t=&quot;shared&quot; si=&quot;1&quot;/&gt;&lt;v&gt;3295.2853124999992&lt;/v&gt;&lt;/c&gt;&lt;c r=&quot;F106&quot; s=&quot;82&quot;&gt;&lt;f t=&quot;shared&quot; si=&quot;1&quot;/&gt;&lt;v&gt;3377.6674453124988&lt;/v&gt;&lt;/c&gt;&lt;c r=&quot;G106&quot; s=&quot;82&quot;&gt;&lt;f t=&quot;shared&quot; si=&quot;1&quot;/&gt;&lt;v&gt;3462.109131445311&lt;/v&gt;&lt;/c&gt;&lt;c r=&quot;H106&quot; s=&quot;82&quot;&gt;&lt;f t=&quot;shared&quot; si=&quot;1&quot;/&gt;&lt;v&gt;3548.6618597314437&lt;/v&gt;&lt;/c&gt;&lt;c r=&quot;I106&quot; s=&quot;82&quot;&gt;&lt;f t=&quot;shared&quot; si=&quot;1&quot;/&gt;&lt;v&gt;3637.3784062247296&lt;/v&gt;&lt;/c&gt;&lt;c r=&quot;J106&quot; s=&quot;82&quot;&gt;&lt;f t=&quot;shared&quot; si=&quot;1&quot;/&gt;&lt;v&gt;3728.3128663803477&lt;/v&gt;&lt;/c&gt;&lt;c r=&quot;K106&quot; s=&quot;82&quot;&gt;&lt;f t=&quot;shared&quot; si=&quot;1&quot;/&gt;&lt;v&gt;3821.5206880398559&lt;/v&gt;&lt;/c&gt;&lt;c r=&quot;L106&quot; s=&quot;82&quot;&gt;&lt;f t=&quot;shared&quot; si=&quot;1&quot;/&gt;&lt;v&gt;3917.0587052408519&lt;/v&gt;&lt;/c&gt;&lt;c r=&quot;M106&quot; s=&quot;82&quot;&gt;&lt;f t=&quot;shared&quot; si=&quot;1&quot;/&gt;&lt;v&gt;4014.9851728718727&lt;/v&gt;&lt;/c&gt;&lt;c r=&quot;N106&quot; s=&quot;82&quot;&gt;&lt;f t=&quot;shared&quot; si=&quot;1&quot;/&gt;&lt;v&gt;4115.3598021936696&lt;/v&gt;&lt;/c&gt;&lt;c r=&quot;O106&quot; s=&quot;82&quot;&gt;&lt;f t=&quot;shared&quot; si=&quot;1&quot;/&gt;&lt;v&gt;4218.2437972485113&lt;/v&gt;&lt;/c&gt;&lt;c r=&quot;P106&quot; s=&quot;82&quot;&gt;&lt;f t=&quot;shared&quot; si=&quot;1&quot;/&gt;&lt;v&gt;4323.699892179724&lt;/v&gt;&lt;/c&gt;&lt;c r=&quot;Q106&quot; s=&quot;82&quot;&gt;&lt;f t=&quot;shared&quot; si=&quot;1&quot;/&gt;&lt;v&gt;4431.792389484217&lt;/v&gt;&lt;/c&gt;&lt;c r=&quot;R106&quot; s=&quot;82&quot;&gt;&lt;f t=&quot;shared&quot; si=&quot;1&quot;/&gt;&lt;v&gt;4542.5871992213224&lt;/v&gt;&lt;/c&gt;&lt;c r=&quot;S106&quot; s=&quot;82&quot;&gt;&lt;f t=&quot;shared&quot; si=&quot;1&quot;/&gt;&lt;v&gt;4656.1518792018551&lt;/v&gt;&lt;/c&gt;&lt;c r=&quot;T106&quot; s=&quot;82&quot;&gt;&lt;f t=&quot;shared&quot; si=&quot;1&quot;/&gt;&lt;v&gt;4772.5556761819007&lt;/v&gt;&lt;/c&gt;&lt;c r=&quot;U106&quot; s=&quot;82&quot;&gt;&lt;f t=&quot;shared&quot; si=&quot;1&quot;/&gt;&lt;v&gt;4891.8695680864475&lt;/v&gt;&lt;/c&gt;&lt;c r=&quot;V106&quot; s=&quot;82&quot;&gt;&lt;f t=&quot;shared&quot; si=&quot;1&quot;/&gt;&lt;v&gt;5014.1663072886086&lt;/v&gt;&lt;/c&gt;&lt;c r=&quot;W106&quot; s=&quot;82&quot;&gt;&lt;f t=&quot;shared&quot; si=&quot;1&quot;/&gt;&lt;v&gt;5139.520464970823&lt;/v&gt;&lt;/c&gt;&lt;c r=&quot;X106&quot; s=&quot;82&quot;&gt;&lt;f t=&quot;shared&quot; si=&quot;1&quot;/&gt;&lt;v&gt;5268.0084765950933&lt;/v&gt;&lt;/c&gt;&lt;c r=&quot;Y106&quot; s=&quot;82&quot;&gt;&lt;f t=&quot;shared&quot; si=&quot;1&quot;/&gt;&lt;v&gt;5399.7086885099698&lt;/v&gt;&lt;/c&gt;&lt;c r=&quot;Z106&quot; s=&quot;82&quot;&gt;&lt;f t=&quot;shared&quot; si=&quot;1&quot;/&gt;&lt;v&gt;5534.7014057227188&lt;/v&gt;&lt;/c&gt;&lt;c r=&quot;AA106&quot; s=&quot;82&quot;&gt;&lt;f t=&quot;shared&quot; si=&quot;1&quot;/&gt;&lt;v&gt;5673.0689408657863&lt;/v&gt;&lt;/c&gt;&lt;c r=&quot;AB106&quot; s=&quot;82&quot;&gt;&lt;f t=&quot;shared&quot; si=&quot;1&quot;/&gt;&lt;v&gt;5814.8956643874308&lt;/v&gt;&lt;/c&gt;&lt;c r=&quot;AC106&quot; s=&quot;82&quot;&gt;&lt;f t=&quot;shared&quot; si=&quot;1&quot;/&gt;&lt;v&gt;5960.2680559971159&lt;/v&gt;&lt;/c&gt;&lt;c r=&quot;AD106&quot; s=&quot;82&quot;&gt;&lt;f t=&quot;shared&quot; si=&quot;1&quot;/&gt;&lt;v&gt;6109.2747573970437&lt;/v&gt;&lt;/c&gt;&lt;c r=&quot;AE106&quot; s=&quot;82&quot;&gt;&lt;f t=&quot;shared&quot; si=&quot;1&quot;/&gt;&lt;v&gt;6262.0066263319695&lt;/v&gt;&lt;/c&gt;&lt;/row&gt;&lt;row r=&quot;107&quot; spans=&quot;1:31&quot; ht=&quot;15&quot; customHeight=&quot;1&quot; x14ac:dyDescent=&quot;0.25&quot;&gt;&lt;c r=&quot;A107&quot; s=&quot;19&quot; t=&quot;s&quot;&gt;&lt;v&gt;158&lt;/v&gt;&lt;/c&gt;&lt;c r=&quot;B107&quot; s=&quot;82&quot;&gt;&lt;f&gt;IF(1&gt;$B$70,0,SUMIF(&apos;Amortization Schedule&apos;!$B$4:$B$603,1,&apos;Amortization Schedule&apos;!$F$4:$F$603))</f><v>11048.157106934035</v></c><c r="C107" s="82"><f>IF(2&gt;$B$70,0,SUMIF(&apos;Amortization Schedule&apos;!$B$4:$B$603,2,&apos;Amortization Schedule&apos;!$F$4:$F$603))</f><v>10830.794398498972</v></c><c r="D107" s="82"><f>IF(3&gt;$B$70,0,SUMIF(&apos;Amortization Schedule&apos;!$B$4:$B$603,3,&apos;Amortization Schedule&apos;!$F$4:$F$603))</f><v>10605.700760840791</v></c><c r="E107" s="82"><f>IF(4&gt;$B$70,0,SUMIF(&apos;Amortization Schedule&apos;!$B$4:$B$603,4,&apos;Amortization Schedule&apos;!$F$4:$F$603))</f><v>10372.601228363583</v></c><c r="F107" s="82"><f>IF(5&gt;$B$70,0,SUMIF(&apos;Amortization Schedule&apos;!$B$4:$B$603,5,&apos;Amortization Schedule&apos;!$F$4:$F$603))</f><v>10131.211055783033</v></c><c r="G107" s="82"><f>IF(6&gt;$B$70,0,SUMIF(&apos;Amortization Schedule&apos;!$B$4:$B$603,6,&apos;Amortization Schedule&apos;!$F$4:$F$603))</f><v>9881.2353702926885</v></c><c r="H107" s="82"><f>IF(7&gt;$B$70,0,SUMIF(&apos;Amortization Schedule&apos;!$B$4:$B$603,7,&apos;Amortization Schedule&apos;!$F$4:$F$603))</f><v>9622.3688113588723</v></c><c r="I107" s="82"><f>IF(8&gt;$B$70,0,SUMIF(&apos;Amortization Schedule&apos;!$B$4:$B$603,8,&apos;Amortization Schedule&apos;!$F$4:$F$603))</f><v>9354.2951577041713</v></c><c r="J107" s="82"><f>IF(9&gt;$B$70,0,SUMIF(&apos;Amortization Schedule&apos;!$B$4:$B$603,9,&apos;Amortization Schedule&apos;!$F$4:$F$603))</f><v>9076.6869410238814</v></c><c r="K107" s="82"><f>IF(10&gt;$B$70,0,SUMIF(&apos;Amortization Schedule&apos;!$B$4:$B$603,10,&apos;Amortization Schedule&apos;!$F$4:$F$603))</f><v>8789.2050459635084</v></c><c r="L107" s="82"><f>IF(11&gt;$B$70,0,SUMIF(&apos;Amortization Schedule&apos;!$B$4:$B$603,11,&apos;Amortization Schedule&apos;!$F$4:$F$603))</f><v>8491.4982958687015</v></c><c r="M107" s="82"><f>IF(12&gt;$B$70,0,SUMIF(&apos;Amortization Schedule&apos;!$B$4:$B$603,12,&apos;Amortization Schedule&apos;!$F$4:$F$603))</f><v>8183.2030238015786</v></c><c r="N107" s="82"><f>IF(13&gt;$B$70,0,SUMIF(&apos;Amortization Schedule&apos;!$B$4:$B$603,13,&apos;Amortization Schedule&apos;!$F$4:$F$603))</f><v>7863.9426282993782</v></c><c r="O107" s="82"><f>IF(14&gt;$B$70,0,SUMIF(&apos;Amortization Schedule&apos;!$B$4:$B$603,14,&apos;Amortization Schedule&apos;!$F$4:$F$603))</f><v>7533.3271133328408</v></c><c r="P107" s="82"><f>IF(15&gt;$B$70,0,SUMIF(&apos;Amortization Schedule&apos;!$B$4:$B$603,15,&apos;Amortization Schedule&apos;!$F$4:$F$603))</f><v>7190.9526119022803</v></c><c r="Q107" s="82"><f>IF(16&gt;$B$70,0,SUMIF(&apos;Amortization Schedule&apos;!$B$4:$B$603,16,&apos;Amortization Schedule&apos;!$F$4:$F$603))</f><v>6836.4008926894376</v></c><c r="R107" s="82"><f>IF(17&gt;$B$70,0,SUMIF(&apos;Amortization Schedule&apos;!$B$4:$B$603,17,&apos;Amortization Schedule&apos;!$F$4:$F$603))</f><v>6469.2388491624379</v></c><c r="S107" s="82"><f>IF(18&gt;$B$70,0,SUMIF(&apos;Amortization Schedule&apos;!$B$4:$B$603,18,&apos;Amortization Schedule&apos;!$F$4:$F$603))</f><v>6089.0179705097653</v></c><c r="T107" s="82"><f>IF(19&gt;$B$70,0,SUMIF(&apos;Amortization Schedule&apos;!$B$4:$B$603,19,&apos;Amortization Schedule&apos;!$F$4:$F$603))</f><v>5695.2737937569818</v></c><c r="U107" s="82"><f>IF(20&gt;$B$70,0,SUMIF(&apos;Amortization Schedule&apos;!$B$4:$B$603,20,&apos;Amortization Schedule&apos;!$F$4:$F$603))</f><v>5287.5253363968823</v></c><c r="V107" s="82"><f>IF(21&gt;$B$70,0,SUMIF(&apos;Amortization Schedule&apos;!$B$4:$B$603,21,&apos;Amortization Schedule&apos;!$F$4:$F$603))</f><v>4865.2745088400616</v></c><c r="W107" s="82"><f>IF(22&gt;$B$70,0,SUMIF(&apos;Amortization Schedule&apos;!$B$4:$B$603,22,&apos;Amortization Schedule&apos;!$F$4:$F$603))</f><v>4428.0055059681299</v></c><c r="X107" s="82"><f>IF(23&gt;$B$70,0,SUMIF(&apos;Amortization Schedule&apos;!$B$4:$B$603,23,&apos;Amortization Schedule&apos;!$F$4:$F$603))</f><v>3975.1841770463234</v></c><c r="Y107" s="82"><f>IF(24&gt;$B$70,0,SUMIF(&apos;Amortization Schedule&apos;!$B$4:$B$603,24,&apos;Amortization Schedule&apos;!$F$4:$F$603))</f><v>3506.2573732258206</v></c><c r="Z107" s="82"><f>IF(25&gt;$B$70,0,SUMIF(&apos;Amortization Schedule&apos;!$B$4:$B$603,25,&apos;Amortization Schedule&apos;!$F$4:$F$603))</f><v>3020.6522718387314</v></c><c r="AA107" s="82"><f>IF(26&gt;$B$70,0,SUMIF(&apos;Amortization Schedule&apos;!$B$4:$B$603,26,&apos;Amortization Schedule&apos;!$F$4:$F$603))</f><v>2517.7756766602843</v></c><c r="AB107" s="82"><f>IF(27&gt;$B$70,0,SUMIF(&apos;Amortization Schedule&apos;!$B$4:$B$603,27,&apos;Amortization Schedule&apos;!$F$4:$F$603))</f><v>1997.0132932834949</v></c><c r="AC107" s="82"><f>IF(28&gt;$B$70,0,SUMIF(&apos;Amortization Schedule&apos;!$B$4:$B$603,28,&apos;Amortization Schedule&apos;!$F$4:$F$603))</f><v>1457.7289787211121</v></c><c r="AD107" s="82"><f>IF(29&gt;$B$70,0,SUMIF(&apos;Amortization Schedule&apos;!$B$4:$B$603,29,&apos;Amortization Schedule&apos;!$F$4:$F$603))</f><v>899.26396431818921</v></c><c r="AE107" s="82"><f>IF(30&gt;$B$70,0,SUMIF(&apos;Amortization Schedule&apos;!$B$4:$B$603,30,&apos;Amortization Schedule&apos;!$F$4:$F$603))</f><v>320.93605102602658</v></c></row><row r="108" spans="1:31" ht="15" customHeight="1" x14ac:dyDescent="0.25"><c r="A108" s="19" t="s"><v>159</v></c><c r="B108" s="82"><f>$B$99+INDEX(CapEx!$D$23:$D$52,1)</f><v>6107.92</v></c><c r="C108" s="82"><f>$B$99+INDEX(CapEx!$D$23:$D$52,2)</f><v>6107.92</v></c><c r="D108" s="82"><f>$B$99+INDEX(CapEx!$D$23:$D$52,3)</f><v>6107.92</v></c><c r="E108" s="82"><f>$B$99+INDEX(CapEx!$D$23:$D$52,4)</f><v>6107.92</v></c><c r="F108" s="82"><f>$B$99+INDEX(CapEx!$D$23:$D$52,5)</f><v>6107.92</v></c><c r="G108" s="82"><f>$B$99+INDEX(CapEx!$D$23:$D$52,6)</f><v>6107.92</v></c><c r="H108" s="82"><f>$B$99+INDEX(CapEx!$D$23:$D$52,7)</f><v>6107.92</v></c><c r="I108" s="82"><f>$B$99+INDEX(CapEx!$D$23:$D$52,8)</f><v>6107.92</v></c><c r="J108" s="82"><f>$B$99+INDEX(CapEx!$D$23:$D$52,9)</f><v>6107.92</v></c><c r="K108" s="82"><f>$B$99+INDEX(CapEx!$D$23:$D$52,10)</f><v>6107.92</v></c><c r="L108" s="82"><f>$B$99+INDEX(CapEx!$D$23:$D$52,11)</f><v>6107.92</v></c><c r="M108" s="82"><f>$B$99+INDEX(CapEx!$D$23:$D$52,12)</f><v>6107.92</v></c><c r="N108" s="82"><f>$B$99+INDEX(CapEx!$D$23:$D$52,13)</f><v>6107.92</v></c><c r="O108" s="82"><f>$B$99+INDEX(CapEx!$D$23:$D$52,14)</f><v>6107.92</v></c><c r="P108" s="82"><f>$B$99+INDEX(CapEx!$D$23:$D$52,15)</f><v>6107.92</v></c><c r="Q108" s="82"><f>$B$99+INDEX(CapEx!$D$23:$D$52,16)</f><v>6107.92</v></c><c r="R108" s="82"><f>$B$99+INDEX(CapEx!$D$23:$D$52,17)</f><v>6107.92</v></c><c r="S108" s="82"><f>$B$99+INDEX(CapEx!$D$23:$D$52,18)</f><v>6107.92</v></c><c r="T108" s="82"><f>$B$99+INDEX(CapEx!$D$23:$D$52,19)</f><v>6107.92</v></c><c r="U108" s="82"><f>$B$99+INDEX(CapEx!$D$23:$D$52,20)</f><v>6107.92</v></c><c r="V108" s="82"><f>$B$99+INDEX(CapEx!$D$23:$D$52,21)</f><v>6107.92</v></c><c r="W108" s="82"><f>$B$99+INDEX(CapEx!$D$23:$D$52,22)</f><v>6107.92</v></c><c r="X108" s="82"><f>$B$99+INDEX(CapEx!$D$23:$D$52,23)</f><v>6107.92</v></c><c r="Y108" s="82"><f>$B$99+INDEX(CapEx!$D$23:$D$52,24)</f><v>6107.92</v></c><c r="Z108" s="82"><f>$B$99+INDEX(CapEx!$D$23:$D$52,25)</f><v>6107.92</v></c><c r="AA108" s="82"><f>$B$99+INDEX(CapEx!$D$23:$D$52,26)</f><v>6107.92</v></c><c r="AB108" s="82"><f>$B$99+INDEX(CapEx!$D$23:$D$52,27)</f><v>6107.92</v></c><c r="AC108" s="82"><f>$B$99+INDEX(CapEx!$D$23:$D$52,28)</f><v>6107.92</v></c><c r="AD108" s="82"><f>$B$99+INDEX(CapEx!$D$23:$D$52,29)</f><v>6107.92</v></c><c r="AE108" s="82"><f>$B$99+INDEX(CapEx!$D$23:$D$52,30)</f><v>6107.92</v></c></row><row r="109" spans="1:31" ht="15" customHeight="1" x14ac:dyDescent="0.25"><c r="A109" s="19" t="s"><v>160</v></c><c r="B109" s="97"><f>B105-B106+$B$87*(1+$B$16)^0-B107-B108-$B$101-$B$58-INDEX(CapEx!$C$23:$C$52,1)</f><v>-22856.077106934034</v></c><c r="C109" s="97"><f>C105-C106+$B$87*(1+$B$16)^1-C107-C108-$B$101-INDEX(CapEx!$C$23:$C$52,2)</f><v>-7460.0143984989718</v></c><c r="D109" s="97"><f>D105-D106+$B$87*(1+$B$16)^1-D107-D108-$B$101-INDEX(CapEx!$C$23:$C$52,3)</f><v>-12073.42926084079</v></c><c r="E109" s="97"><f>E105-E106+$B$87*(1+$B$16)^1-E107-E108-$B$101-INDEX(CapEx!$C$23:$C$52,4)</f><v>-6676.0004608635809</v></c><c r="F109" s="97"><f>F105-F106+$B$87*(1+$B$16)^1-F107-F108-$B$101-INDEX(CapEx!$C$23:$C$52,5)</f><v>-6267.3962994955291</v></c><c r="G109" s="97"><f>G105-G106+$B$87*(1+$B$16)^1-G107-G108-$B$101-INDEX(CapEx!$C$23:$C$52,6)</f><v>-5847.2742561059986</v></c><c r="H109" s="97"><f>H105-H106+$B$87*(1+$B$16)^1-H107-H108-$B$101-INDEX(CapEx!$C$23:$C$52,7)</f><v>-5415.2806205456745</v></c><c r="I109" s="97"><f>I105-I106+$B$87*(1+$B$16)^1-I107-I108-$B$101-INDEX(CapEx!$C$23:$C$52,8)</f><v>-4971.0501123733648</v></c><c r="J109" s="97"><f>J105-J106+$B$87*(1+$B$16)^1-J107-J108-$B$101-INDEX(CapEx!$C$23:$C$52,9)</f><v>-4514.2054868175819</v></c><c r="K109" s="97"><f>K105-K106+$B$87*(1+$B$16)^1-K107-K108-$B$101-INDEX(CapEx!$C$23:$C$52,10)</f><v>-4044.3571270049852</v></c><c r="L109" s="97"><f>L105-L106+$B$87*(1+$B$16)^1-L107-L108-$B$101-INDEX(CapEx!$C$23:$C$52,11)</f><v>-3561.1026219712057</v></c><c r="M109" s="97"><f>M105-M106+$B$87*(1+$B$16)^1-M107-M108-$B$101-INDEX(CapEx!$C$23:$C$52,12)</f><v>-3064.0263299523367</v></c><c r="N109" s="97"><f>N105-N106+$B$87*(1+$B$16)^1-N107-N108-$B$101-INDEX(CapEx!$C$23:$C$52,13)</f><v>-2552.6989264375106</v></c><c r="O109" s="97"><f>O105-O106+$B$87*(1+$B$16)^1-O107-O108-$B$101-INDEX(CapEx!$C$23:$C$52,14)</f><v>-2026.6769364447036</v></c><c r="P109" s="97"><f>P105-P106+$B$87*(1+$B$16)^1-P107-P108-$B$101-INDEX(CapEx!$C$23:$C$52,15)</f><v>-1485.5022504626222</v></c><c r="Q109" s="97"><f>Q105-Q106+$B$87*(1+$B$16)^1-Q107-Q108-$B$101-INDEX(CapEx!$C$23:$C$52,16)</f><v>-928.70162348188478</v></c><c r="R109" s="97"><f>R105-R106+$B$87*(1+$B$16)^1-R107-R108-$B$101-INDEX(CapEx!$C$23:$C$52,17)</f><v>-355.78615651815471</v></c><c r="S109" s="97"><f>S105-S106+$B$87*(1+$B$16)^1-S107-S108-$B$101-INDEX(CapEx!$C$23:$C$52,18)</f><v>233.74923999129715</v></c><c r="T109" s="97"><f>T105-T106+$B$87*(1+$B$16)^1-T107-T108-$B$101-INDEX(CapEx!$C$23:$C$52,19)</f><v>840.42640155809386</v></c><c r="U109" s="97"><f>U105-U106+$B$87*(1+$B$16)^1-U107-U108-$B$101-INDEX(CapEx!$C$23:$C$52,20)</f><v>1464.7844844435858</v></c><c r="V109" s="97"><f>V105-V106+$B$87*(1+$B$16)^1-V107-V108-$B$101-INDEX(CapEx!$C$23:$C$52,21)</f><v>2107.380560576783</v></c><c r="W109" s="97"><f>W105-W106+$B$87*(1+$B$16)^1-W107-W108-$B$101-INDEX(CapEx!$C$23:$C$52,22)</f><v>2768.7902333006077</v></c><c r="X109" s="97"><f>X105-X106+$B$87*(1+$B$16)^1-X107-X108-$B$101-INDEX(CapEx!$C$23:$C$52,23)</f><v>3449.6082746829379</v></c><c r="Y109" s="97"><f>Y105-Y106+$B$87*(1+$B$16)^1-Y107-Y108-$B$101-INDEX(CapEx!$C$23:$C$52,24)</f><v>4150.4492851550513</v></c><c r="Z109" s="97"><f>Z105-Z106+$B$87*(1+$B$16)^1-Z107-Z108-$B$101-INDEX(CapEx!$C$23:$C$52,25)</f><v>4871.9483762672098</v></c><c r="AA109" s="97"><f>AA105-AA106+$B$87*(1+$B$16)^1-AA107-AA108-$B$101-INDEX(CapEx!$C$23:$C$52,26)</f><v>5614.7618773791637</v></c><c r="AB109" s="97"><f>AB105-AB106+$B$87*(1+$B$16)^1-AB107-AB108-$B$101-INDEX(CapEx!$C$23:$C$52,27)</f><v>6379.5680671324117</v></c><c r="AC109" s="97"><f>AC105-AC106+$B$87*(1+$B$16)^1-AC107-AC108-$B$101-INDEX(CapEx!$C$23:$C$52,28)</f><v>7167.0679305811773</v></c><c r="AD109" s="97"><f>AD105-AD106+$B$87*(1+$B$16)^1-AD107-AD108-$B$101-INDEX(CapEx!$C$23:$C$52,29)</f><v>7977.98594289016</v></c><c r="AE109" s="97"><f>AE105-AE106+$B$87*(1+$B$16)^1-AE107-AE108-$B$101-INDEX(CapEx!$C$23:$C$52,30)</f><v>8813.0708805395079</v></c></row><row r="110" spans="1:31" ht="15" customHeight="1" x14ac:dyDescent="0.25"><c r="A110" s="19" t="s"><v>161</v></c><c r="B110" s="97"><f t="shared" ref="B110:AE110" si="2">-B109*$B$100</f><v>9599.5523849122928</v></c><c r="C110" s="97"><f t="shared" si="2"/>&lt;v&gt;3133.2060473695678&lt;/v&gt;&lt;/c&gt;&lt;c r=&quot;D110&quot; s=&quot;97&quot;&gt;&lt;f t=&quot;shared&quot; si=&quot;2&quot;/&gt;&lt;v&gt;5070.8402895531317&lt;/v&gt;&lt;/c&gt;&lt;c r=&quot;E110&quot; s=&quot;97&quot;&gt;&lt;f t=&quot;shared&quot; si=&quot;2&quot;/&gt;&lt;v&gt;2803.9201935627038&lt;/v&gt;&lt;/c&gt;&lt;c r=&quot;F110&quot; s=&quot;97&quot;&gt;&lt;f t=&quot;shared&quot; si=&quot;2&quot;/&gt;&lt;v&gt;2632.3064457881223&lt;/v&gt;&lt;/c&gt;&lt;c r=&quot;G110&quot; s=&quot;97&quot;&gt;&lt;f t=&quot;shared&quot; si=&quot;2&quot;/&gt;&lt;v&gt;2455.8551875645194&lt;/v&gt;&lt;/c&gt;&lt;c r=&quot;H110&quot; s=&quot;97&quot;&gt;&lt;f t=&quot;shared&quot; si=&quot;2&quot;/&gt;&lt;v&gt;2274.417860629183&lt;/v&gt;&lt;/c&gt;&lt;c r=&quot;I110&quot; s=&quot;97&quot;&gt;&lt;f t=&quot;shared&quot; si=&quot;2&quot;/&gt;&lt;v&gt;2087.8410471968132&lt;/v&gt;&lt;/c&gt;&lt;c r=&quot;J110&quot; s=&quot;97&quot;&gt;&lt;f t=&quot;shared&quot; si=&quot;2&quot;/&gt;&lt;v&gt;1895.9663044633844&lt;/v&gt;&lt;/c&gt;&lt;c r=&quot;K110&quot; s=&quot;97&quot;&gt;&lt;f t=&quot;shared&quot; si=&quot;2&quot;/&gt;&lt;v&gt;1698.6299933420937&lt;/v&gt;&lt;/c&gt;&lt;c r=&quot;L110&quot; s=&quot;97&quot;&gt;&lt;f t=&quot;shared&quot; si=&quot;2&quot;/&gt;&lt;v&gt;1495.6631012279063&lt;/v&gt;&lt;/c&gt;&lt;c r=&quot;M110&quot; s=&quot;97&quot;&gt;&lt;f t=&quot;shared&quot; si=&quot;2&quot;/&gt;&lt;v&gt;1286.8910585799813&lt;/v&gt;&lt;/c&gt;&lt;c r=&quot;N110&quot; s=&quot;97&quot;&gt;&lt;f t=&quot;shared&quot; si=&quot;2&quot;/&gt;&lt;v&gt;1072.1335491037544&lt;/v&gt;&lt;/c&gt;&lt;c r=&quot;O110&quot; s=&quot;97&quot;&gt;&lt;f t=&quot;shared&quot; si=&quot;2&quot;/&gt;&lt;v&gt;851.20431330677548&lt;/v&gt;&lt;/c&gt;&lt;c r=&quot;P110&quot; s=&quot;97&quot;&gt;&lt;f t=&quot;shared&quot; si=&quot;2&quot;/&gt;&lt;v&gt;623.91094519430135&lt;/v&gt;&lt;/c&gt;&lt;c r=&quot;Q110&quot; s=&quot;97&quot;&gt;&lt;f t=&quot;shared&quot; si=&quot;2&quot;/&gt;&lt;v&gt;390.05468186239159&lt;/v&gt;&lt;/c&gt;&lt;c r=&quot;R110&quot; s=&quot;97&quot;&gt;&lt;f t=&quot;shared&quot; si=&quot;2&quot;/&gt;&lt;v&gt;149.43018573762498&lt;/v&gt;&lt;/c&gt;&lt;c r=&quot;S110&quot; s=&quot;97&quot;&gt;&lt;f t=&quot;shared&quot; si=&quot;2&quot;/&gt;&lt;v&gt;-98.174680796344802&lt;/v&gt;&lt;/c&gt;&lt;c r=&quot;T110&quot; s=&quot;97&quot;&gt;&lt;f t=&quot;shared&quot; si=&quot;2&quot;/&gt;&lt;v&gt;-352.97908865439939&lt;/v&gt;&lt;/c&gt;&lt;c r=&quot;U110&quot; s=&quot;97&quot;&gt;&lt;f t=&quot;shared&quot; si=&quot;2&quot;/&gt;&lt;v&gt;-615.20948346630598&lt;/v&gt;&lt;/c&gt;&lt;c r=&quot;V110&quot; s=&quot;97&quot;&gt;&lt;f t=&quot;shared&quot; si=&quot;2&quot;/&gt;&lt;v&gt;-885.09983544224883&lt;/v&gt;&lt;/c&gt;&lt;c r=&quot;W110&quot; s=&quot;97&quot;&gt;&lt;f t=&quot;shared&quot; si=&quot;2&quot;/&gt;&lt;v&gt;-1162.8918979862551&lt;/v&gt;&lt;/c&gt;&lt;c r=&quot;X110&quot; s=&quot;97&quot;&gt;&lt;f t=&quot;shared&quot; si=&quot;2&quot;/&gt;&lt;v&gt;-1448.8354753668339&lt;/v&gt;&lt;/c&gt;&lt;c r=&quot;Y110&quot; s=&quot;97&quot;&gt;&lt;f t=&quot;shared&quot; si=&quot;2&quot;/&gt;&lt;v&gt;-1743.1886997651216&lt;/v&gt;&lt;/c&gt;&lt;c r=&quot;Z110&quot; s=&quot;97&quot;&gt;&lt;f t=&quot;shared&quot; si=&quot;2&quot;/&gt;&lt;v&gt;-2046.2183180322281&lt;/v&gt;&lt;/c&gt;&lt;c r=&quot;AA110&quot; s=&quot;97&quot;&gt;&lt;f t=&quot;shared&quot; si=&quot;2&quot;/&gt;&lt;v&gt;-2358.1999884992488&lt;/v&gt;&lt;/c&gt;&lt;c r=&quot;AB110&quot; s=&quot;97&quot;&gt;&lt;f t=&quot;shared&quot; si=&quot;2&quot;/&gt;&lt;v&gt;-2679.4185881956128&lt;/v&gt;&lt;/c&gt;&lt;c r=&quot;AC110&quot; s=&quot;97&quot;&gt;&lt;f t=&quot;shared&quot; si=&quot;2&quot;/&gt;&lt;v&gt;-3010.1685308440942&lt;/v&gt;&lt;/c&gt;&lt;c r=&quot;AD110&quot; s=&quot;97&quot;&gt;&lt;f t=&quot;shared&quot; si=&quot;2&quot;/&gt;&lt;v&gt;-3350.7540960138672&lt;/v&gt;&lt;/c&gt;&lt;c r=&quot;AE110&quot; s=&quot;97&quot;&gt;&lt;f t=&quot;shared&quot; si=&quot;2&quot;/&gt;&lt;v&gt;-3701.4897698265931&lt;/v&gt;&lt;/c&gt;&lt;/row&gt;&lt;row r=&quot;111&quot; spans=&quot;1:31&quot; ht=&quot;15&quot; customHeight=&quot;1&quot; x14ac:dyDescent=&quot;0.25&quot;&gt;&lt;c r=&quot;A111&quot; s=&quot;19&quot; t=&quot;s&quot;&gt;&lt;v&gt;162&lt;/v&gt;&lt;/c&gt;&lt;c r=&quot;B111&quot; s=&quot;97&quot;&gt;&lt;f&gt;IF(1&gt;$B$70,0,SUMIF(&apos;Amortization Schedule&apos;!$B$4:$B$603,1,&apos;Amortization Schedule&apos;!$E$4:$E$603)+SUMIF(&apos;Amortization Schedule&apos;!$B$4:$B$603,1,&apos;Amortization Schedule&apos;!$J$4:$J$603))</f><v>17159.524273113737</v></c><c r="C111" s="97"><f>IF(2&gt;$B$70,0,SUMIF(&apos;Amortization Schedule&apos;!$B$4:$B$603,2,&apos;Amortization Schedule&apos;!$E$4:$E$603)+SUMIF(&apos;Amortization Schedule&apos;!$B$4:$B$603,2,&apos;Amortization Schedule&apos;!$J$4:$J$603))</f><v>17159.524273113737</v></c><c r="D111" s="97"><f>IF(3&gt;$B$70,0,SUMIF(&apos;Amortization Schedule&apos;!$B$4:$B$603,3,&apos;Amortization Schedule&apos;!$E$4:$E$603)+SUMIF(&apos;Amortization Schedule&apos;!$B$4:$B$603,3,&apos;Amortization Schedule&apos;!$J$4:$J$603))</f><v>17159.524273113737</v></c><c r="E111" s="97"><f>IF(4&gt;$B$70,0,SUMIF(&apos;Amortization Schedule&apos;!$B$4:$B$603,4,&apos;Amortization Schedule&apos;!$E$4:$E$603)+SUMIF(&apos;Amortization Schedule&apos;!$B$4:$B$603,4,&apos;Amortization Schedule&apos;!$J$4:$J$603))</f><v>17159.524273113737</v></c><c r="F111" s="97"><f>IF(5&gt;$B$70,0,SUMIF(&apos;Amortization Schedule&apos;!$B$4:$B$603,5,&apos;Amortization Schedule&apos;!$E$4:$E$603)+SUMIF(&apos;Amortization Schedule&apos;!$B$4:$B$603,5,&apos;Amortization Schedule&apos;!$J$4:$J$603))</f><v>17159.524273113737</v></c><c r="G111" s="97"><f>IF(6&gt;$B$70,0,SUMIF(&apos;Amortization Schedule&apos;!$B$4:$B$603,6,&apos;Amortization Schedule&apos;!$E$4:$E$603)+SUMIF(&apos;Amortization Schedule&apos;!$B$4:$B$603,6,&apos;Amortization Schedule&apos;!$J$4:$J$603))</f><v>17159.524273113737</v></c><c r="H111" s="97"><f>IF(7&gt;$B$70,0,SUMIF(&apos;Amortization Schedule&apos;!$B$4:$B$603,7,&apos;Amortization Schedule&apos;!$E$4:$E$603)+SUMIF(&apos;Amortization Schedule&apos;!$B$4:$B$603,7,&apos;Amortization Schedule&apos;!$J$4:$J$603))</f><v>17159.524273113737</v></c><c r="I111" s="97"><f>IF(8&gt;$B$70,0,SUMIF(&apos;Amortization Schedule&apos;!$B$4:$B$603,8,&apos;Amortization Schedule&apos;!$E$4:$E$603)+SUMIF(&apos;Amortization Schedule&apos;!$B$4:$B$603,8,&apos;Amortization Schedule&apos;!$J$4:$J$603))</f><v>17159.524273113737</v></c><c r="J111" s="97"><f>IF(9&gt;$B$70,0,SUMIF(&apos;Amortization Schedule&apos;!$B$4:$B$603,9,&apos;Amortization Schedule&apos;!$E$4:$E$603)+SUMIF(&apos;Amortization Schedule&apos;!$B$4:$B$603,9,&apos;Amortization Schedule&apos;!$J$4:$J$603))</f><v>17159.524273113737</v></c><c r="K111" s="97"><f>IF(10&gt;$B$70,0,SUMIF(&apos;Amortization Schedule&apos;!$B$4:$B$603,10,&apos;Amortization Schedule&apos;!$E$4:$E$603)+SUMIF(&apos;Amortization Schedule&apos;!$B$4:$B$603,10,&apos;Amortization Schedule&apos;!$J$4:$J$603))</f><v>17159.524273113737</v></c><c r="L111" s="97"><f>IF(11&gt;$B$70,0,SUMIF(&apos;Amortization Schedule&apos;!$B$4:$B$603,11,&apos;Amortization Schedule&apos;!$E$4:$E$603)+SUMIF(&apos;Amortization Schedule&apos;!$B$4:$B$603,11,&apos;Amortization Schedule&apos;!$J$4:$J$603))</f><v>17159.524273113737</v></c><c r="M111" s="97"><f>IF(12&gt;$B$70,0,SUMIF(&apos;Amortization Schedule&apos;!$B$4:$B$603,12,&apos;Amortization Schedule&apos;!$E$4:$E$603)+SUMIF(&apos;Amortization Schedule&apos;!$B$4:$B$603,12,&apos;Amortization Schedule&apos;!$J$4:$J$603))</f><v>17159.524273113737</v></c><c r="N111" s="97"><f>IF(13&gt;$B$70,0,SUMIF(&apos;Amortization Schedule&apos;!$B$4:$B$603,13,&apos;Amortization Schedule&apos;!$E$4:$E$603)+SUMIF(&apos;Amortization Schedule&apos;!$B$4:$B$603,13,&apos;Amortization Schedule&apos;!$J$4:$J$603))</f><v>17159.524273113737</v></c><c r="O111" s="97"><f>IF(14&gt;$B$70,0,SUMIF(&apos;Amortization Schedule&apos;!$B$4:$B$603,14,&apos;Amortization Schedule&apos;!$E$4:$E$603)+SUMIF(&apos;Amortization Schedule&apos;!$B$4:$B$603,14,&apos;Amortization Schedule&apos;!$J$4:$J$603))</f><v>17159.524273113737</v></c><c r="P111" s="97"><f>IF(15&gt;$B$70,0,SUMIF(&apos;Amortization Schedule&apos;!$B$4:$B$603,15,&apos;Amortization Schedule&apos;!$E$4:$E$603)+SUMIF(&apos;Amortization Schedule&apos;!$B$4:$B$603,15,&apos;Amortization Schedule&apos;!$J$4:$J$603))</f><v>17159.524273113737</v></c><c r="Q111" s="97"><f>IF(16&gt;$B$70,0,SUMIF(&apos;Amortization Schedule&apos;!$B$4:$B$603,16,&apos;Amortization Schedule&apos;!$E$4:$E$603)+SUMIF(&apos;Amortization Schedule&apos;!$B$4:$B$603,16,&apos;Amortization Schedule&apos;!$J$4:$J$603))</f><v>17159.524273113737</v></c><c r="R111" s="97"><f>IF(17&gt;$B$70,0,SUMIF(&apos;Amortization Schedule&apos;!$B$4:$B$603,17,&apos;Amortization Schedule&apos;!$E$4:$E$603)+SUMIF(&apos;Amortization Schedule&apos;!$B$4:$B$603,17,&apos;Amortization Schedule&apos;!$J$4:$J$603))</f><v>17159.524273113737</v></c><c r="S111" s="97"><f>IF(18&gt;$B$70,0,SUMIF(&apos;Amortization Schedule&apos;!$B$4:$B$603,18,&apos;Amortization Schedule&apos;!$E$4:$E$603)+SUMIF(&apos;Amortization Schedule&apos;!$B$4:$B$603,18,&apos;Amortization Schedule&apos;!$J$4:$J$603))</f><v>17159.524273113737</v></c><c r="T111" s="97"><f>IF(19&gt;$B$70,0,SUMIF(&apos;Amortization Schedule&apos;!$B$4:$B$603,19,&apos;Amortization Schedule&apos;!$E$4:$E$603)+SUMIF(&apos;Amortization Schedule&apos;!$B$4:$B$603,19,&apos;Amortization Schedule&apos;!$J$4:$J$603))</f><v>17159.524273113737</v></c><c r="U111" s="97"><f>IF(20&gt;$B$70,0,SUMIF(&apos;Amortization Schedule&apos;!$B$4:$B$603,20,&apos;Amortization Schedule&apos;!$E$4:$E$603)+SUMIF(&apos;Amortization Schedule&apos;!$B$4:$B$603,20,&apos;Amortization Schedule&apos;!$J$4:$J$603))</f><v>17159.524273113737</v></c><c r="V111" s="97"><f>IF(21&gt;$B$70,0,SUMIF(&apos;Amortization Schedule&apos;!$B$4:$B$603,21,&apos;Amortization Schedule&apos;!$E$4:$E$603)+SUMIF(&apos;Amortization Schedule&apos;!$B$4:$B$603,21,&apos;Amortization Schedule&apos;!$J$4:$J$603))</f><v>17159.524273113737</v></c><c r="W111" s="97"><f>IF(22&gt;$B$70,0,SUMIF(&apos;Amortization Schedule&apos;!$B$4:$B$603,22,&apos;Amortization Schedule&apos;!$E$4:$E$603)+SUMIF(&apos;Amortization Schedule&apos;!$B$4:$B$603,22,&apos;Amortization Schedule&apos;!$J$4:$J$603))</f><v>17159.524273113737</v></c><c r="X111" s="97"><f>IF(23&gt;$B$70,0,SUMIF(&apos;Amortization Schedule&apos;!$B$4:$B$603,23,&apos;Amortization Schedule&apos;!$E$4:$E$603)+SUMIF(&apos;Amortization Schedule&apos;!$B$4:$B$603,23,&apos;Amortization Schedule&apos;!$J$4:$J$603))</f><v>17159.524273113737</v></c><c r="Y111" s="97"><f>IF(24&gt;$B$70,0,SUMIF(&apos;Amortization Schedule&apos;!$B$4:$B$603,24,&apos;Amortization Schedule&apos;!$E$4:$E$603)+SUMIF(&apos;Amortization Schedule&apos;!$B$4:$B$603,24,&apos;Amortization Schedule&apos;!$J$4:$J$603))</f><v>17159.524273113737</v></c><c r="Z111" s="97"><f>IF(25&gt;$B$70,0,SUMIF(&apos;Amortization Schedule&apos;!$B$4:$B$603,25,&apos;Amortization Schedule&apos;!$E$4:$E$603)+SUMIF(&apos;Amortization Schedule&apos;!$B$4:$B$603,25,&apos;Amortization Schedule&apos;!$J$4:$J$603))</f><v>17159.524273113737</v></c><c r="AA111" s="97"><f>IF(26&gt;$B$70,0,SUMIF(&apos;Amortization Schedule&apos;!$B$4:$B$603,26,&apos;Amortization Schedule&apos;!$E$4:$E$603)+SUMIF(&apos;Amortization Schedule&apos;!$B$4:$B$603,26,&apos;Amortization Schedule&apos;!$J$4:$J$603))</f><v>17159.524273113737</v></c><c r="AB111" s="97"><f>IF(27&gt;$B$70,0,SUMIF(&apos;Amortization Schedule&apos;!$B$4:$B$603,27,&apos;Amortization Schedule&apos;!$E$4:$E$603)+SUMIF(&apos;Amortization Schedule&apos;!$B$4:$B$603,27,&apos;Amortization Schedule&apos;!$J$4:$J$603))</f><v>17159.524273113737</v></c><c r="AC111" s="97"><f>IF(28&gt;$B$70,0,SUMIF(&apos;Amortization Schedule&apos;!$B$4:$B$603,28,&apos;Amortization Schedule&apos;!$E$4:$E$603)+SUMIF(&apos;Amortization Schedule&apos;!$B$4:$B$603,28,&apos;Amortization Schedule&apos;!$J$4:$J$603))</f><v>17159.524273113737</v></c><c r="AD111" s="97"><f>IF(29&gt;$B$70,0,SUMIF(&apos;Amortization Schedule&apos;!$B$4:$B$603,29,&apos;Amortization Schedule&apos;!$E$4:$E$603)+SUMIF(&apos;Amortization Schedule&apos;!$B$4:$B$603,29,&apos;Amortization Schedule&apos;!$J$4:$J$603))</f><v>17159.524273113737</v></c><c r="AE111" s="97"><f>IF(30&gt;$B$70,0,SUMIF(&apos;Amortization Schedule&apos;!$B$4:$B$603,30,&apos;Amortization Schedule&apos;!$E$4:$E$603)+SUMIF(&apos;Amortization Schedule&apos;!$B$4:$B$603,30,&apos;Amortization Schedule&apos;!$J$4:$J$603))</f><v>17159.524273113631</v></c></row><row r="112" spans="1:31" ht="15" customHeight="1" x14ac:dyDescent="0.25"><c r="A112" s="11" t="s"><v>163</v></c><c r="B112" s="98"><f>B105-B106-B111+B110-IF(1=HOA!$B$30,HOA!$B$31,0)-INDEX(CapEx!$B$23:$B$52,1)</f><v>1140.028111798556</v></c><c r="C112" s="98"><f>C105-C106-C111+C110-IF(2=HOA!$B$30,HOA!$B$31,0)-INDEX(CapEx!$B$23:$B$52,2)</f><v>-5167.6182257441687</v></c><c r="D112" s="98"><f>D105-D106-D111+D110-IF(3=HOA!$B$30,HOA!$B$31,0)-INDEX(CapEx!$B$23:$B$52,3)</f><v>-8068.4924835606043</v></c><c r="E112" s="98"><f>E105-E106-E111+E110-IF(4=HOA!$B$30,HOA!$B$31,0)-INDEX(CapEx!$B$23:$B$52,4)</f><v>-5171.0833120510306</v></c><c r="F112" s="98"><f>F105-F106-F111+F110-IF(5=HOA!$B$30,HOA!$B$31,0)-INDEX(CapEx!$B$23:$B$52,5)</f><v>-6425.4830710381102</v></c><c r="G112" s="98"><f>G105-G106-G111+G110-IF(6=HOA!$B$30,HOA!$B$31,0)-INDEX(CapEx!$B$23:$B$52,6)</f><v>-5181.787971362528</v></c><c r="H112" s="98"><f>H105-H106-H111+H110-IF(7=HOA!$B$30,HOA!$B$31,0)-INDEX(CapEx!$B$23:$B$52,7)</f><v>-5190.0982216713564</v></c><c r="I112" s="98"><f>I105-I106-I111+I110-IF(8=HOA!$B$30,HOA!$B$31,0)-INDEX(CapEx!$B$23:$B$52,8)</f><v>-5200.5181805861175</v></c><c r="J112" s="98"><f>J105-J106-J111+J110-IF(9=HOA!$B$30,HOA!$B$31,0)-INDEX(CapEx!$B$23:$B$52,9)</f><v>-5213.1565144440528</v></c><c r="K112" s="98"><f>K105-K106-K111+K110-IF(10=HOA!$B$30,HOA!$B$31,0)-INDEX(CapEx!$B$23:$B$52,10)</f><v>-5228.1263608131194</v></c><c r="L112" s="98"><f>L105-L106-L111+L110-IF(11=HOA!$B$30,HOA!$B$31,0)-INDEX(CapEx!$B$23:$B$52,11)</f><v>-5245.5454979883343</v></c><c r="M112" s="98"><f>M105-M106-M111+M110-IF(12=HOA!$B$30,HOA!$B$31,0)-INDEX(CapEx!$B$23:$B$52,12)</f><v>-5265.5365206845136</v></c><c r="N112" s="98"><f>N105-N106-N111+N110-IF(13=HOA!$B$30,HOA!$B$31,0)-INDEX(CapEx!$B$23:$B$52,13)</f><v>-5288.2270221481149</v></c><c r="O112" s="98"><f>O105-O106-O111+O110-IF(14=HOA!$B$30,HOA!$B$31,0)-INDEX(CapEx!$B$23:$B$52,14)</f><v>-5313.7497829188242</v></c><c r="P112" s="98"><f>P105-P106-P111+P110-IF(15=HOA!$B$30,HOA!$B$31,0)-INDEX(CapEx!$B$23:$B$52,15)</f><v>-5342.2429664797774</v></c><c r="Q112" s="98"><f>Q105-Q106-Q111+Q110-IF(16=HOA!$B$30,HOA!$B$31,0)-INDEX(CapEx!$B$23:$B$52,16)</f><v>-5373.8503220437924</v></c><c r="R112" s="98"><f>R105-R106-R111+R110-IF(17=HOA!$B$30,HOA!$B$31,0)-INDEX(CapEx!$B$23:$B$52,17)</f><v>-5408.7213947318287</v></c><c r="S112" s="98"><f>S105-S106-S111+S110-IF(18=HOA!$B$30,HOA!$B$31,0)-INDEX(CapEx!$B$23:$B$52,18)</f><v>-5447.0117434090189</v></c><c r="T112" s="98"><f>T105-T106-T111+T110-IF(19=HOA!$B$30,HOA!$B$31,0)-INDEX(CapEx!$B$23:$B$52,19)</f><v>-5488.8831664530608</v></c><c r="U112" s="98"><f>U105-U106-U111+U110-IF(20=HOA!$B$30,HOA!$B$31,0)-INDEX(CapEx!$B$23:$B$52,20)</f><v>-5534.5039357395744</v></c><c r="V112" s="98"><f>V105-V106-V111+V110-IF(21=HOA!$B$30,HOA!$B$31,0)-INDEX(CapEx!$B$23:$B$52,21)</f><v>-5584.0490391391404</v></c><c r="W112" s="98"><f>W105-W106-W111+W110-IF(22=HOA!$B$30,HOA!$B$31,0)-INDEX(CapEx!$B$23:$B$52,22)</f><v>-5637.7004318312538</v></c><c r="X112" s="98"><f>X105-X106-X111+X110-IF(23=HOA!$B$30,HOA!$B$31,0)-INDEX(CapEx!$B$23:$B$52,23)</f><v>-5695.6472967513091</v></c><c r="Y112" s="98"><f>Y105-Y106-Y111+Y110-IF(24=HOA!$B$30,HOA!$B$31,0)-INDEX(CapEx!$B$23:$B$52,24)</f><v>-5758.0863144979867</v></c><c r="Z112" s="98"><f>Z105-Z106-Z111+Z110-IF(25=HOA!$B$30,HOA!$B$31,0)-INDEX(CapEx!$B$23:$B$52,25)</f><v>-5825.2219430400237</v></c><c r="AA112" s="98"><f>AA105-AA106-AA111+AA110-IF(26=HOA!$B$30,HOA!$B$31,0)-INDEX(CapEx!$B$23:$B$52,26)</f><v>-5897.266707573539</v></c><c r="AB112" s="98"><f>AB105-AB106-AB111+AB110-IF(27=HOA!$B$30,HOA!$B$31,0)-INDEX(CapEx!$B$23:$B$52,27)</f><v>-5974.4415008934429</v></c><c r="AC112" s="98"><f>AC105-AC106-AC111+AC110-IF(28=HOA!$B$30,HOA!$B$31,0)-INDEX(CapEx!$B$23:$B$52,28)</f><v>-6056.9758946555412</v></c><c r="AD112" s="98"><f>AD105-AD106-AD111+AD110-IF(29=HOA!$B$30,HOA!$B$31,0)-INDEX(CapEx!$B$23:$B$52,29)</f><v>-6145.1084619192534</v></c><c r="AE112" s="98"><f>AE105-AE106-AE111+AE110-IF(30=HOA!$B$30,HOA!$B$31,0)-INDEX(CapEx!$B$23:$B$52,30)</f><v>-6239.0871113746898</v></c></row><row r="113" spans="1:31" ht="15" customHeight="1" x14ac:dyDescent="0.25"><c r="A113" s="11" t="s"><v>164</v></c><c r="B113" s="98"><f>IF(1&gt;$B$70,0,IFERROR(INDEX(&apos;Amortization Schedule&apos;!$I$4:$I$603,1*12),0))</f><v>312333.6328338203</v></c><c r="C113" s="98"><f>IF(2&gt;$B$70,0,IFERROR(INDEX(&apos;Amortization Schedule&apos;!$I$4:$I$603,2*12),0))</f><v>306004.90295920556</v></c><c r="D113" s="98"><f>IF(3&gt;$B$70,0,IFERROR(INDEX(&apos;Amortization Schedule&apos;!$I$4:$I$603,3*12),0))</f><v>299451.07944693259</v></c><c r="E113" s="98"><f>IF(4&gt;$B$70,0,IFERROR(INDEX(&apos;Amortization Schedule&apos;!$I$4:$I$603,4*12),0))</f><v>292664.15640218242</v></c><c r="F113" s="98"><f>IF(5&gt;$B$70,0,IFERROR(INDEX(&apos;Amortization Schedule&apos;!$I$4:$I$603,5*12),0))</f><v>285635.84318485169</v></c><c r="G113" s="98"><f>IF(6&gt;$B$70,0,IFERROR(INDEX(&apos;Amortization Schedule&apos;!$I$4:$I$603,6*12),0))</f><v>278357.55428203067</v></c><c r="H113" s="98"><f>IF(7&gt;$B$70,0,IFERROR(INDEX(&apos;Amortization Schedule&apos;!$I$4:$I$603,7*12),0))</f><v>270820.39882027579</v></c><c r="I113" s="98"><f>IF(8&gt;$B$70,0,IFERROR(INDEX(&apos;Amortization Schedule&apos;!$I$4:$I$603,8*12),0))</f><v>263015.16970486619</v></c><c r="J113" s="98"><f>IF(9&gt;$B$70,0,IFERROR(INDEX(&apos;Amortization Schedule&apos;!$I$4:$I$603,9*12),0))</f><v>254932.33237277635</v></c><c r="K113" s="98"><f>IF(10&gt;$B$70,0,IFERROR(INDEX(&apos;Amortization Schedule&apos;!$I$4:$I$603,10*12),0))</f><v>246562.01314562609</v></c><c r="L113" s="98"><f>IF(11&gt;$B$70,0,IFERROR(INDEX(&apos;Amortization Schedule&apos;!$I$4:$I$603,11*12),0))</f><v>237893.98716838105</v></c><c r="M113" s="98"><f>IF(12&gt;$B$70,0,IFERROR(INDEX(&apos;Amortization Schedule&apos;!$I$4:$I$603,12*12),0))</f><v>228917.66591906891</v></c><c r="N113" s="98"><f>IF(13&gt;$B$70,0,IFERROR(INDEX(&apos;Amortization Schedule&apos;!$I$4:$I$603,13*12),0))</f><v>219622.08427425459</v></c><c r="O113" s="98"><f>IF(14&gt;$B$70,0,IFERROR(INDEX(&apos;Amortization Schedule&apos;!$I$4:$I$603,14*12),0))</f><v>209995.88711447373</v></c><c r="P113" s="98"><f>IF(15&gt;$B$70,0,IFERROR(INDEX(&apos;Amortization Schedule&apos;!$I$4:$I$603,15*12),0))</f><v>200027.31545326227</v></c><c r="Q113" s="98"><f>IF(16&gt;$B$70,0,IFERROR(INDEX(&apos;Amortization Schedule&apos;!$I$4:$I$603,16*12),0))</f><v>189704.19207283793</v></c><c r="R113" s="98"><f>IF(17&gt;$B$70,0,IFERROR(INDEX(&apos;Amortization Schedule&apos;!$I$4:$I$603,17*12),0))</f><v>179013.90664888662</v></c><c r="S113" s="98"><f>IF(18&gt;$B$70,0,IFERROR(INDEX(&apos;Amortization Schedule&apos;!$I$4:$I$603,18*12),0))</f><v>167943.40034628264</v></c><c r="T113" s="98"><f>IF(19&gt;$B$70,0,IFERROR(INDEX(&apos;Amortization Schedule&apos;!$I$4:$I$603,19*12),0))</f><v>156479.14986692596</v></c><c r="U113" s="98"><f>IF(20&gt;$B$70,0,IFERROR(INDEX(&apos;Amortization Schedule&apos;!$I$4:$I$603,20*12),0))</f><v>144607.15093020906</v></c><c r="V113" s="98"><f>IF(21&gt;$B$70,0,IFERROR(INDEX(&apos;Amortization Schedule&apos;!$I$4:$I$603,21*12),0))</f><v>132312.90116593539</v></c><c r="W113" s="98"><f>IF(22&gt;$B$70,0,IFERROR(INDEX(&apos;Amortization Schedule&apos;!$I$4:$I$603,22*12),0))</f><v>119581.38239878978</v></c><c r="X113" s="98"><f>IF(23&gt;$B$70,0,IFERROR(INDEX(&apos;Amortization Schedule&apos;!$I$4:$I$603,23*12),0))</f><v>106397.04230272236</v></c><c r="Y113" s="98"><f>IF(24&gt;$B$70,0,IFERROR(INDEX(&apos;Amortization Schedule&apos;!$I$4:$I$603,24*12),0))</f><v>92743.77540283445</v></c><c r="Z113" s="98"><f>IF(25&gt;$B$70,0,IFERROR(INDEX(&apos;Amortization Schedule&apos;!$I$4:$I$603,25*12),0))</f><v>78604.903401559452</v></c><c r="AA113" s="98"><f>IF(26&gt;$B$70,0,IFERROR(INDEX(&apos;Amortization Schedule&apos;!$I$4:$I$603,26*12),0))</f><v>63963.154805106002</v></c><c r="AB113" s="98"><f>IF(27&gt;$B$70,0,IFERROR(INDEX(&apos;Amortization Schedule&apos;!$I$4:$I$603,27*12),0))</f><v>48800.643825275765</v></c><c r="AC113" s="98"><f>IF(28&gt;$B$70,0,IFERROR(INDEX(&apos;Amortization Schedule&apos;!$I$4:$I$603,28*12),0))</f><v>33098.848530883144</v></c><c r="AD113" s="98"><f>IF(29&gt;$B$70,0,IFERROR(INDEX(&apos;Amortization Schedule&apos;!$I$4:$I$603,29*12),0))</f><v>16838.588222087601</v></c><c r="AE113" s="98"><f>IF(30&gt;$B$70,0,IFERROR(INDEX(&apos;Amortization Schedule&apos;!$I$4:$I$603,30*12),0))</f><v>0</v></c></row><row r="114" spans="1:31" ht="15" customHeight="1" x14ac:dyDescent="0.25"/><row r="115" spans="1:31" ht="15" customHeight="1" x14ac:dyDescent="0.25"/><row r="116" spans="1:31" ht="15" customHeight="1" x14ac:dyDescent="0.25"/><row r="117" spans="1:31" ht="15" customHeight="1" x14ac:dyDescent="0.25"/><row r="118" spans="1:31" ht="15" customHeight="1" x14ac:dyDescent="0.25"/><row r="119" spans="1:31" ht="15" customHeight="1" x14ac:dyDescent="0.25"/><row r="120" spans="1:31" ht="15" customHeight="1" x14ac:dyDescent="0.25"/><row r="121" spans="1:31" ht="15" customHeight="1" x14ac:dyDescent="0.25"/><row r="122" spans="1:31" ht="15" customHeight="1" x14ac:dyDescent="0.25"/><row r="123" spans="1:31" ht="15" customHeight="1" x14ac:dyDescent="0.25"/><row r="124" spans="1:31" ht="15" customHeight="1" x14ac:dyDescent="0.25"/><row r="125" spans="1:31" ht="15" customHeight="1" x14ac:dyDescent="0.25"/><row r="126" spans="1:31" ht="15" customHeight="1" x14ac:dyDescent="0.25"/><row r="127" spans="1:31" ht="15" customHeight="1" x14ac:dyDescent="0.25"/><row r="128" spans="1:31" ht="15" customHeight="1" x14ac:dyDescent="0.25"/></sheetData><mergeCells count="15"><mergeCell ref="A1:AE1"/><mergeCell ref="A7:A8"/><mergeCell ref="A36:B36"/><mergeCell ref="A4:F4"/><mergeCell ref="A17:B17"/><mergeCell ref="A5:A6"/><mergeCell ref="A26:B26"/><mergeCell ref="A10:B10"/><mergeCell ref="A52:B52"/><mergeCell ref="A95:B95"/><mergeCell ref="A60:B60"/><mergeCell ref="A76:B76"/><mergeCell ref="A51:B51"/><mergeCell ref="A85:B85"/><mergeCell ref="A61:B61"/></mergeCells><conditionalFormatting sqref="A57"><cfRule type="expression" dxfId="42" priority="6"><formula>AND(ISNUMBER($B$55),$B$55&gt;0.15)</formula></cfRule></conditionalFormatting><conditionalFormatting sqref="A56:B56"><cfRule type="expression" dxfId="41" priority="5"><formula>AND(ISNUMBER($B$55),$B$55&gt;0.15)</formula></cfRule></conditionalFormatting><conditionalFormatting sqref="B18:B20"><cfRule type="cellIs" dxfId="40" priority="7" operator="lessThan"><formula>0</formula></cfRule></conditionalFormatting><conditionalFormatting sqref="B22"><cfRule type="cellIs" dxfId="36" priority="10" operator="lessThan"><formula>0</formula></cfRule></conditionalFormatting><conditionalFormatting sqref="B24:B25"><cfRule type="cellIs" dxfId="32" priority="11" operator="lessThan"><formula>0</formula></cfRule></conditionalFormatting><conditionalFormatting sqref="B55"><cfRule type="expression" dxfId="28" priority="4"><formula>AND(ISNUMBER($B$55),$B$55&gt;0.15)</formula></cfRule></conditionalFormatting><conditionalFormatting sqref="B112"><cfRule type="cellIs" dxfId="27" priority="17" operator="lessThan"><formula>0</formula></cfRule></conditionalFormatting><conditionalFormatting sqref="D6:E6"><cfRule type="cellIs" dxfId="26" priority="13" operator="lessThan"><formula>0</formula></cfRule></conditionalFormatting><conditionalFormatting sqref="G6:H6"><cfRule type="cellIs" dxfId="25" priority="15" operator="lessThan"><formula>0</formula></cfRule></conditionalFormatting><conditionalFormatting sqref="H8"><cfRule type="cellIs" dxfId="24" priority="18" operator="lessThan"><formula>1</formula></cfRule><cfRule type="cellIs" dxfId="23" priority="19" operator="between"><formula>1</formula><formula>1.499999</formula></cfRule><cfRule type="cellIs" dxfId="22" priority="20" operator="greaterThanOrEqual"><formula>1.5</formula></cfRule></conditionalFormatting><dataValidations count="1"><dataValidation type="list" showErrorMessage="1" errorTitle="Eingabe" error="Bitte 0 (Nein) oder 1 (Ja) wählen." promptTitle="Anschlussfinanzierung" prompt="0 = klassischer 30-Jahre-Kredit | 1 = Refinanzierung nach Zinsbindung" sqref="B71" xr:uid="{00000000-0002-0000-0100-000000000000}"><formula1>"0,1"</formula1></dataValidation></dataValidations><pageMargins left="0.7" right="0.7" top="0.75" bottom="0.75" header="0.3" footer="0.3"/><legacyDrawing r:id="rId1"/><extLst><ext uri="{78C0D931-6437-407d-A8EE-F0AAD7539E65}" xmlns:x14="http://schemas.microsoft.com/office/spreadsheetml/2009/9/main"><x14:conditionalFormattings><x14:conditionalFormatting xmlns:xm="http://schemas.microsoft.com/office/excel/2006/main"><x14:cfRule type="cellIs" priority="14" operator="between" id="{00000000-000E-0000-0100-00000E000000}"><xm:f>&apos;Model Notes&apos;!$B$27</xm:f><xm:f>&apos;Model Notes&apos;!$B$26-0.000000000001</xm:f><x14:dxf><font><b/><color rgb="FF9C5700"/></font><fill><patternFill patternType="solid"><fgColor rgb="FFFFEB9C"/></patternFill></fill></x14:dxf></x14:cfRule><x14:cfRule type="cellIs" priority="21" operator="lessThan" id="{00000000-000E-0000-0100-000015000000}"><xm:f>&apos;Model Notes&apos;!$B$27</xm:f><x14:dxf><font><b/><color rgb="FF9C0006"/></font><fill><patternFill patternType="solid"><fgColor rgb="FFFFC7CE"/></patternFill></fill></x14:dxf></x14:cfRule><x14:cfRule type="cellIs" priority="21" operator="greaterThanOrEqual" id="{00000000-000E-0000-0100-000015000000}"><xm:f>&apos;Model Notes&apos;!$B$26</xm:f><x14:dxf><font><b/><color rgb="FF006100"/></font><fill><patternFill patternType="solid"><fgColor rgb="FFC6EFCE"/></patternFill></fill></x14:dxf></x14:cfRule><xm:sqref>B20</xm:sqref></x14:conditionalFormatting><x14:conditionalFormatting xmlns:xm="http://schemas.microsoft.com/office/excel/2006/main"><x14:cfRule type="cellIs" priority="23" operator="lessThan" id="{00000000-000E-0000-0100-000017000000}"><xm:f>&apos;Model Notes&apos;!$B$27</xm:f><x14:dxf><font><b/><color rgb="FF9C0006"/></font><fill><patternFill patternType="solid"><fgColor rgb="FFFFC7CE"/></patternFill></fill></x14:dxf></x14:cfRule><x14:cfRule type="cellIs" priority="23" operator="between" id="{00000000-000E-0000-0100-000017000000}"><xm:f>&apos;Model Notes&apos;!$B$27</xm:f><xm:f>&apos;Model Notes&apos;!$B$26-0.000000000001</xm:f><x14:dxf><font><b/><color rgb="FF9C5700"/></font><fill><patternFill patternType="solid"><fgColor rgb="FFFFEB9C"/></patternFill></fill></x14:dxf></x14:cfRule><x14:cfRule type="cellIs" priority="23" operator="greaterThanOrEqual" id="{00000000-000E-0000-0100-000017000000}"><xm:f>&apos;Model Notes&apos;!$B$26</xm:f><x14:dxf><font><b/><color rgb="FF006100"/></font><fill><patternFill patternType="solid"><fgColor rgb="FFC6EFCE"/></patternFill></fill></x14:dxf></x14:cfRule><xm:sqref>B24</xm:sqref></x14:conditionalFormatting><x14:conditionalFormatting xmlns:xm="http://schemas.microsoft.com/office/excel/2006/main"><x14:cfRule type="cellIs" priority="24" operator="lessThan" id="{00000000-000E-0000-0100-000018000000}"><xm:f>&apos;Model Notes&apos;!$B$25</xm:f><x14:dxf><font><b/><color rgb="FF9C0006"/></font><fill><patternFill patternType="solid"><fgColor rgb="FFFFC7CE"/></patternFill></fill></x14:dxf></x14:cfRule><x14:cfRule type="cellIs" priority="24" operator="between" id="{00000000-000E-0000-0100-000018000000}"><xm:f>&apos;Model Notes&apos;!$B$25</xm:f><xm:f>&apos;Model Notes&apos;!$B$24-0.000000000001</xm:f><x14:dxf><font><b/><color rgb="FF9C5700"/></font><fill><patternFill patternType="solid"><fgColor rgb="FFFFEB9C"/></patternFill></fill></x14:dxf></x14:cfRule><x14:cfRule type="cellIs" priority="24" operator="greaterThanOrEqual" id="{00000000-000E-0000-0100-000018000000}"><xm:f>&apos;Model Notes&apos;!$B$24</xm:f><x14:dxf><font><b/><color rgb="FF006100"/></font><fill><patternFill patternType="solid"><fgColor rgb="FFC6EFCE"/></patternFill></fill></x14:dxf></x14:cfRule><xm:sqref>B25</xm:sqref></x14:conditionalFormatting><x14:conditionalFormatting xmlns:xm="http://schemas.microsoft.com/office/excel/2006/main"><x14:cfRule type="cellIs" priority="16" operator="lessThan" id="{00000000-000E-0000-0100-000010000000}"><xm:f>&apos;Model Notes&apos;!$B$27</xm:f><x14:dxf><font><b/><color rgb="FF9C0006"/></font><fill><patternFill patternType="solid"><fgColor rgb="FFFFC7CE"/></patternFill></fill></x14:dxf></x14:cfRule><x14:cfRule type="cellIs" priority="22" operator="between" id="{00000000-000E-0000-0100-000016000000}"><xm:f>&apos;Model Notes&apos;!$B$27</xm:f><xm:f>&apos;Model Notes&apos;!$B$26-0.000000000001</xm:f><x14:dxf><font><b/><color rgb="FF9C5700"/></font><fill><patternFill patternType="solid"><fgColor rgb="FFFFEB9C"/></patternFill></fill></x14:dxf></x14:cfRule><x14:cfRule type="cellIs" priority="22" operator="greaterThanOrEqual" id="{00000000-000E-0000-0100-000016000000}"><xm:f>&apos;Model Notes&apos;!$B$26</xm:f><x14:dxf><font><b/><color rgb="FF006100"/></font><fill><patternFill patternType="solid"><fgColor rgb="FFC6EFCE"/></patternFill></fill></x14:dxf></x14:cfRule><xm:sqref>I6</xm:sqref></x14:conditionalFormatting></x14:conditionalFormattings></ext></extLst></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6E876-C976-47BF-92F2-E084A624C647}">
  <sheetPr>
    <tabColor rgb="FFB4C7DC"/>
  </sheetPr>
  <dimension ref="A1:C32"/>
  <sheetViews>
    <sheetView workbookViewId="0">
      <selection sqref="A1:C1"/>
    </sheetView>
  </sheetViews>
  <sheetFormatPr baseColWidth="10" defaultRowHeight="15" x14ac:dyDescent="0.25"/>
  <cols>
    <col min="1" max="1" width="46.7109375" customWidth="1"/>
    <col min="2" max="2" width="16.7109375" customWidth="1"/>
    <col min="3" max="3" width="14.7109375" customWidth="1"/>
  </cols>
  <sheetData>
    <row r="1" spans="1:3" ht="30" customHeight="1" x14ac:dyDescent="0.3">
      <c r="A1" s="269" t="s">
        <v>430</v>
      </c>
      <c r="B1" s="269"/>
      <c r="C1" s="269"/>
    </row>
    <row r="2" spans="1:3" ht="48" customHeight="1" x14ac:dyDescent="0.25">
      <c r="A2" s="258" t="s">
        <v>431</v>
      </c>
      <c r="B2" s="258"/>
      <c r="C2" s="258"/>
    </row>
    <row r="4" spans="1:3" ht="15" customHeight="1" x14ac:dyDescent="0.25">
      <c r="A4" s="256" t="s">
        <v>432</v>
      </c>
      <c r="B4" s="256"/>
    </row>
    <row r="5" spans="1:3" ht="15" customHeight="1" x14ac:dyDescent="0.25">
      <c r="A5" s="170" t="s">
        <v>433</v>
      </c>
      <c r="B5" s="171">
        <v>180</v>
      </c>
    </row>
    <row r="6" spans="1:3" ht="15" customHeight="1" x14ac:dyDescent="0.25">
      <c r="A6" s="170" t="s">
        <v>434</v>
      </c>
      <c r="B6" s="171">
        <v>50</v>
      </c>
    </row>
    <row r="7" spans="1:3" ht="15" customHeight="1" x14ac:dyDescent="0.25">
      <c r="A7" s="174" t="s">
        <v>435</v>
      </c>
      <c r="B7" s="175">
        <f>B5+B6</f>
        <v>230</v>
      </c>
    </row>
    <row r="8" spans="1:3" ht="15" customHeight="1" x14ac:dyDescent="0.25">
      <c r="A8" s="172" t="s">
        <v>436</v>
      </c>
      <c r="B8" s="173">
        <f>B6*12</f>
        <v>600</v>
      </c>
    </row>
    <row r="10" spans="1:3" ht="15" customHeight="1" x14ac:dyDescent="0.25">
      <c r="A10" s="256" t="s">
        <v>437</v>
      </c>
      <c r="B10" s="256"/>
    </row>
    <row r="11" spans="1:3" ht="15" customHeight="1" x14ac:dyDescent="0.25">
      <c r="A11" s="170" t="s">
        <v>438</v>
      </c>
      <c r="B11" s="171">
        <v>15000</v>
      </c>
    </row>
    <row r="12" spans="1:3" ht="15" customHeight="1" x14ac:dyDescent="0.25">
      <c r="A12" s="170" t="s">
        <v>439</v>
      </c>
      <c r="B12" s="176">
        <f>'Property Calculator'!B87</f>
        <v>800</v>
      </c>
    </row>
    <row r="13" spans="1:3" ht="15" customHeight="1" x14ac:dyDescent="0.25">
      <c r="A13" s="170" t="s">
        <v>56</v>
      </c>
      <c r="B13" s="177">
        <f>'Property Calculator'!B28</f>
        <v>80</v>
      </c>
    </row>
    <row r="14" spans="1:3" ht="15" customHeight="1" x14ac:dyDescent="0.25">
      <c r="A14" s="170" t="s">
        <v>440</v>
      </c>
      <c r="B14" s="176">
        <f>IFERROR(B11/B13,"—")</f>
        <v>187.5</v>
      </c>
    </row>
    <row r="15" spans="1:3" ht="15" customHeight="1" x14ac:dyDescent="0.25">
      <c r="A15" s="170" t="s">
        <v>441</v>
      </c>
      <c r="B15" s="178">
        <v>0.05</v>
      </c>
    </row>
    <row r="16" spans="1:3" ht="15" customHeight="1" x14ac:dyDescent="0.25">
      <c r="A16" s="172" t="s">
        <v>442</v>
      </c>
      <c r="B16" s="173">
        <f>B11*B15</f>
        <v>750</v>
      </c>
    </row>
    <row r="18" spans="1:3" ht="15" customHeight="1" x14ac:dyDescent="0.25">
      <c r="A18" s="256" t="s">
        <v>443</v>
      </c>
      <c r="B18" s="256"/>
    </row>
    <row r="19" spans="1:3" ht="18" customHeight="1" x14ac:dyDescent="0.25">
      <c r="A19" s="179" t="s">
        <v>444</v>
      </c>
      <c r="B19" s="179" t="s">
        <v>445</v>
      </c>
      <c r="C19" s="182" t="s">
        <v>197</v>
      </c>
    </row>
    <row r="20" spans="1:3" ht="15" customHeight="1" x14ac:dyDescent="0.25">
      <c r="A20" s="180" t="s">
        <v>446</v>
      </c>
      <c r="B20" s="181">
        <v>80000</v>
      </c>
      <c r="C20" s="184">
        <v>12</v>
      </c>
    </row>
    <row r="21" spans="1:3" ht="15" customHeight="1" x14ac:dyDescent="0.25">
      <c r="A21" s="180" t="s">
        <v>447</v>
      </c>
      <c r="B21" s="181">
        <v>40000</v>
      </c>
      <c r="C21" s="184">
        <v>8</v>
      </c>
    </row>
    <row r="22" spans="1:3" ht="15" customHeight="1" x14ac:dyDescent="0.25">
      <c r="A22" s="180" t="s">
        <v>448</v>
      </c>
      <c r="B22" s="181">
        <v>25000</v>
      </c>
      <c r="C22" s="184">
        <v>6</v>
      </c>
    </row>
    <row r="23" spans="1:3" ht="15" customHeight="1" x14ac:dyDescent="0.25">
      <c r="A23" s="180" t="s">
        <v>449</v>
      </c>
      <c r="B23" s="181">
        <v>0</v>
      </c>
      <c r="C23" s="184">
        <v>0</v>
      </c>
    </row>
    <row r="24" spans="1:3" ht="15" customHeight="1" x14ac:dyDescent="0.25">
      <c r="A24" s="180" t="s">
        <v>450</v>
      </c>
      <c r="B24" s="181">
        <v>0</v>
      </c>
      <c r="C24" s="183">
        <v>0</v>
      </c>
    </row>
    <row r="25" spans="1:3" ht="15" customHeight="1" x14ac:dyDescent="0.25">
      <c r="A25" s="174" t="s">
        <v>451</v>
      </c>
      <c r="B25" s="175">
        <f>SUM(B20:B24)</f>
        <v>145000</v>
      </c>
    </row>
    <row r="26" spans="1:3" ht="15" customHeight="1" x14ac:dyDescent="0.25">
      <c r="A26" s="172" t="s">
        <v>452</v>
      </c>
      <c r="B26" s="173">
        <f>B25*B15</f>
        <v>7250</v>
      </c>
    </row>
    <row r="28" spans="1:3" ht="15" customHeight="1" x14ac:dyDescent="0.25">
      <c r="A28" s="256" t="s">
        <v>453</v>
      </c>
      <c r="B28" s="256"/>
    </row>
    <row r="29" spans="1:3" ht="15" customHeight="1" x14ac:dyDescent="0.25">
      <c r="A29" s="170" t="s">
        <v>454</v>
      </c>
      <c r="B29" s="171">
        <v>25000</v>
      </c>
    </row>
    <row r="30" spans="1:3" ht="15" customHeight="1" x14ac:dyDescent="0.25">
      <c r="A30" s="170" t="s">
        <v>455</v>
      </c>
      <c r="B30" s="185">
        <v>5</v>
      </c>
    </row>
    <row r="31" spans="1:3" ht="15" customHeight="1" x14ac:dyDescent="0.25">
      <c r="A31" s="172" t="s">
        <v>456</v>
      </c>
      <c r="B31" s="173">
        <f>B29*B15</f>
        <v>1250</v>
      </c>
    </row>
    <row r="32" spans="1:3" ht="32.1" customHeight="1" x14ac:dyDescent="0.25">
      <c r="A32" s="268" t="s">
        <v>457</v>
      </c>
      <c r="B32" s="268"/>
    </row>
  </sheetData>
  <mergeCells count="7">
    <mergeCell ref="A32:B32"/>
    <mergeCell ref="A1:C1"/>
    <mergeCell ref="A2:C2"/>
    <mergeCell ref="A4:B4"/>
    <mergeCell ref="A10:B10"/>
    <mergeCell ref="A18:B18"/>
    <mergeCell ref="A28:B28"/>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01895-E1F2-44D6-9280-6B7C423F1D81}">
  <sheetPr>
    <tabColor rgb="FFB4C7DC"/>
  </sheetPr>
  <dimension ref="A1:D53"/>
  <sheetViews>
    <sheetView topLeftCell="A27" workbookViewId="0">
      <selection sqref="A1:D1"/>
    </sheetView>
  </sheetViews>
  <sheetFormatPr baseColWidth="10" defaultRowHeight="15" x14ac:dyDescent="0.25"/>
  <cols>
    <col min="1" max="1" width="42.7109375" customWidth="1"/>
    <col min="2" max="2" width="16.7109375" customWidth="1"/>
    <col min="3" max="4" width="22.7109375" customWidth="1"/>
  </cols>
  <sheetData>
    <row r="1" spans="1:4" ht="30" customHeight="1" x14ac:dyDescent="0.3">
      <c r="A1" s="257" t="s">
        <v>459</v>
      </c>
      <c r="B1" s="257"/>
      <c r="C1" s="257"/>
      <c r="D1" s="257"/>
    </row>
    <row r="2" spans="1:4" ht="48" customHeight="1" x14ac:dyDescent="0.25">
      <c r="A2" s="258" t="s">
        <v>460</v>
      </c>
      <c r="B2" s="258"/>
      <c r="C2" s="258"/>
      <c r="D2" s="258"/>
    </row>
    <row r="4" spans="1:4" ht="15" customHeight="1" x14ac:dyDescent="0.25">
      <c r="A4" s="256" t="s">
        <v>461</v>
      </c>
      <c r="B4" s="256"/>
      <c r="C4" s="256"/>
      <c r="D4" s="256"/>
    </row>
    <row r="5" spans="1:4" ht="18" customHeight="1" x14ac:dyDescent="0.25">
      <c r="A5" s="179" t="s">
        <v>444</v>
      </c>
      <c r="B5" s="179" t="s">
        <v>197</v>
      </c>
      <c r="C5" s="179" t="s">
        <v>462</v>
      </c>
      <c r="D5" s="182" t="s">
        <v>463</v>
      </c>
    </row>
    <row r="6" spans="1:4" ht="15" customHeight="1" x14ac:dyDescent="0.25">
      <c r="A6" s="242" t="s">
        <v>464</v>
      </c>
      <c r="B6" s="241">
        <v>3</v>
      </c>
      <c r="C6" s="188">
        <v>5000</v>
      </c>
      <c r="D6" s="190" t="s">
        <v>465</v>
      </c>
    </row>
    <row r="7" spans="1:4" ht="15" customHeight="1" x14ac:dyDescent="0.25">
      <c r="A7" s="242" t="s">
        <v>466</v>
      </c>
      <c r="B7" s="241">
        <v>0</v>
      </c>
      <c r="C7" s="188">
        <v>0</v>
      </c>
      <c r="D7" s="190" t="s">
        <v>467</v>
      </c>
    </row>
    <row r="8" spans="1:4" ht="15" customHeight="1" x14ac:dyDescent="0.25">
      <c r="A8" s="242" t="s">
        <v>468</v>
      </c>
      <c r="B8" s="241">
        <v>0</v>
      </c>
      <c r="C8" s="188">
        <v>0</v>
      </c>
      <c r="D8" s="190" t="s">
        <v>465</v>
      </c>
    </row>
    <row r="9" spans="1:4" ht="15" customHeight="1" x14ac:dyDescent="0.25">
      <c r="A9" s="242" t="s">
        <v>469</v>
      </c>
      <c r="B9" s="241">
        <v>0</v>
      </c>
      <c r="C9" s="188">
        <v>0</v>
      </c>
      <c r="D9" s="190" t="s">
        <v>467</v>
      </c>
    </row>
    <row r="10" spans="1:4" ht="15" customHeight="1" x14ac:dyDescent="0.25">
      <c r="A10" s="242" t="s">
        <v>470</v>
      </c>
      <c r="B10" s="241">
        <v>0</v>
      </c>
      <c r="C10" s="188">
        <v>0</v>
      </c>
      <c r="D10" s="190" t="s">
        <v>465</v>
      </c>
    </row>
    <row r="11" spans="1:4" ht="15" customHeight="1" x14ac:dyDescent="0.25">
      <c r="A11" s="242" t="s">
        <v>471</v>
      </c>
      <c r="B11" s="241">
        <v>0</v>
      </c>
      <c r="C11" s="188">
        <v>0</v>
      </c>
      <c r="D11" s="190" t="s">
        <v>465</v>
      </c>
    </row>
    <row r="12" spans="1:4" ht="15" customHeight="1" x14ac:dyDescent="0.25">
      <c r="A12" s="242" t="s">
        <v>472</v>
      </c>
      <c r="B12" s="241">
        <v>0</v>
      </c>
      <c r="C12" s="188">
        <v>0</v>
      </c>
      <c r="D12" s="190" t="s">
        <v>465</v>
      </c>
    </row>
    <row r="13" spans="1:4" ht="15" customHeight="1" x14ac:dyDescent="0.25">
      <c r="A13" s="239" t="s">
        <v>473</v>
      </c>
      <c r="B13" s="240">
        <v>0</v>
      </c>
      <c r="C13" s="189">
        <v>0</v>
      </c>
      <c r="D13" s="187" t="s">
        <v>467</v>
      </c>
    </row>
    <row r="15" spans="1:4" ht="15" customHeight="1" x14ac:dyDescent="0.25">
      <c r="A15" s="256" t="s">
        <v>474</v>
      </c>
      <c r="B15" s="256"/>
      <c r="C15" s="256"/>
      <c r="D15" s="256"/>
    </row>
    <row r="16" spans="1:4" ht="15" customHeight="1" x14ac:dyDescent="0.25">
      <c r="A16" s="174" t="s">
        <v>475</v>
      </c>
      <c r="B16" s="175">
        <f>SUMIF(D6:D13,"Cash",C6:C13)</f>
        <v>5000</v>
      </c>
    </row>
    <row r="17" spans="1:4" ht="15" customHeight="1" x14ac:dyDescent="0.25">
      <c r="A17" s="174" t="s">
        <v>476</v>
      </c>
      <c r="B17" s="175">
        <f>SUMIF(D6:D13,"Capitalized",C6:C13)</f>
        <v>0</v>
      </c>
    </row>
    <row r="18" spans="1:4" ht="15" customHeight="1" x14ac:dyDescent="0.25">
      <c r="A18" s="170" t="s">
        <v>477</v>
      </c>
      <c r="B18" s="191">
        <f>'Property Calculator'!B98</f>
        <v>0.02</v>
      </c>
    </row>
    <row r="19" spans="1:4" ht="15" customHeight="1" x14ac:dyDescent="0.25">
      <c r="A19" s="172" t="s">
        <v>478</v>
      </c>
      <c r="B19" s="173">
        <f>B17*B18</f>
        <v>0</v>
      </c>
    </row>
    <row r="21" spans="1:4" ht="15" customHeight="1" x14ac:dyDescent="0.25">
      <c r="A21" s="256" t="s">
        <v>479</v>
      </c>
      <c r="B21" s="256"/>
      <c r="C21" s="256"/>
      <c r="D21" s="256"/>
    </row>
    <row r="22" spans="1:4" ht="18" customHeight="1" x14ac:dyDescent="0.25">
      <c r="A22" s="179" t="s">
        <v>197</v>
      </c>
      <c r="B22" s="179" t="s">
        <v>480</v>
      </c>
      <c r="C22" s="179" t="s">
        <v>481</v>
      </c>
      <c r="D22" s="182" t="s">
        <v>482</v>
      </c>
    </row>
    <row r="23" spans="1:4" ht="15" customHeight="1" x14ac:dyDescent="0.25">
      <c r="A23" s="243">
        <v>1</v>
      </c>
      <c r="B23" s="192">
        <f t="shared" ref="B23:B52" si="0">SUMIF($B$6:$B$13,A23,$C$6:$C$13)</f>
        <v>0</v>
      </c>
      <c r="C23" s="192">
        <f t="shared" ref="C23:C52" si="1">SUMIFS($C$6:$C$13,$B$6:$B$13,A23,$D$6:$D$13,"Cash")</f>
        <v>0</v>
      </c>
      <c r="D23" s="195">
        <f t="shared" ref="D23:D52" si="2">SUMIFS($C$6:$C$13,$B$6:$B$13,"&gt;=1",$B$6:$B$13,"&lt;="&amp;A23,$D$6:$D$13,"Capitalized")*$B$18</f>
        <v>0</v>
      </c>
    </row>
    <row r="24" spans="1:4" ht="15" customHeight="1" x14ac:dyDescent="0.25">
      <c r="A24" s="243">
        <v>2</v>
      </c>
      <c r="B24" s="192">
        <f t="shared" si="0"/>
        <v>0</v>
      </c>
      <c r="C24" s="192">
        <f t="shared" si="1"/>
        <v>0</v>
      </c>
      <c r="D24" s="195">
        <f t="shared" si="2"/>
        <v>0</v>
      </c>
    </row>
    <row r="25" spans="1:4" ht="15" customHeight="1" x14ac:dyDescent="0.25">
      <c r="A25" s="243">
        <v>3</v>
      </c>
      <c r="B25" s="192">
        <f t="shared" si="0"/>
        <v>5000</v>
      </c>
      <c r="C25" s="192">
        <f t="shared" si="1"/>
        <v>5000</v>
      </c>
      <c r="D25" s="195">
        <f t="shared" si="2"/>
        <v>0</v>
      </c>
    </row>
    <row r="26" spans="1:4" ht="15" customHeight="1" x14ac:dyDescent="0.25">
      <c r="A26" s="243">
        <v>4</v>
      </c>
      <c r="B26" s="192">
        <f t="shared" si="0"/>
        <v>0</v>
      </c>
      <c r="C26" s="192">
        <f t="shared" si="1"/>
        <v>0</v>
      </c>
      <c r="D26" s="195">
        <f t="shared" si="2"/>
        <v>0</v>
      </c>
    </row>
    <row r="27" spans="1:4" ht="15" customHeight="1" x14ac:dyDescent="0.25">
      <c r="A27" s="243">
        <v>5</v>
      </c>
      <c r="B27" s="192">
        <f t="shared" si="0"/>
        <v>0</v>
      </c>
      <c r="C27" s="192">
        <f t="shared" si="1"/>
        <v>0</v>
      </c>
      <c r="D27" s="195">
        <f t="shared" si="2"/>
        <v>0</v>
      </c>
    </row>
    <row r="28" spans="1:4" ht="15" customHeight="1" x14ac:dyDescent="0.25">
      <c r="A28" s="243">
        <v>6</v>
      </c>
      <c r="B28" s="192">
        <f t="shared" si="0"/>
        <v>0</v>
      </c>
      <c r="C28" s="192">
        <f t="shared" si="1"/>
        <v>0</v>
      </c>
      <c r="D28" s="195">
        <f t="shared" si="2"/>
        <v>0</v>
      </c>
    </row>
    <row r="29" spans="1:4" ht="15" customHeight="1" x14ac:dyDescent="0.25">
      <c r="A29" s="243">
        <v>7</v>
      </c>
      <c r="B29" s="192">
        <f t="shared" si="0"/>
        <v>0</v>
      </c>
      <c r="C29" s="192">
        <f t="shared" si="1"/>
        <v>0</v>
      </c>
      <c r="D29" s="195">
        <f t="shared" si="2"/>
        <v>0</v>
      </c>
    </row>
    <row r="30" spans="1:4" ht="15" customHeight="1" x14ac:dyDescent="0.25">
      <c r="A30" s="243">
        <v>8</v>
      </c>
      <c r="B30" s="192">
        <f t="shared" si="0"/>
        <v>0</v>
      </c>
      <c r="C30" s="192">
        <f t="shared" si="1"/>
        <v>0</v>
      </c>
      <c r="D30" s="195">
        <f t="shared" si="2"/>
        <v>0</v>
      </c>
    </row>
    <row r="31" spans="1:4" ht="15" customHeight="1" x14ac:dyDescent="0.25">
      <c r="A31" s="243">
        <v>9</v>
      </c>
      <c r="B31" s="192">
        <f t="shared" si="0"/>
        <v>0</v>
      </c>
      <c r="C31" s="192">
        <f t="shared" si="1"/>
        <v>0</v>
      </c>
      <c r="D31" s="195">
        <f t="shared" si="2"/>
        <v>0</v>
      </c>
    </row>
    <row r="32" spans="1:4" ht="15" customHeight="1" x14ac:dyDescent="0.25">
      <c r="A32" s="243">
        <v>10</v>
      </c>
      <c r="B32" s="192">
        <f t="shared" si="0"/>
        <v>0</v>
      </c>
      <c r="C32" s="192">
        <f t="shared" si="1"/>
        <v>0</v>
      </c>
      <c r="D32" s="195">
        <f t="shared" si="2"/>
        <v>0</v>
      </c>
    </row>
    <row r="33" spans="1:4" ht="15" customHeight="1" x14ac:dyDescent="0.25">
      <c r="A33" s="243">
        <v>11</v>
      </c>
      <c r="B33" s="192">
        <f t="shared" si="0"/>
        <v>0</v>
      </c>
      <c r="C33" s="192">
        <f t="shared" si="1"/>
        <v>0</v>
      </c>
      <c r="D33" s="195">
        <f t="shared" si="2"/>
        <v>0</v>
      </c>
    </row>
    <row r="34" spans="1:4" ht="15" customHeight="1" x14ac:dyDescent="0.25">
      <c r="A34" s="243">
        <v>12</v>
      </c>
      <c r="B34" s="192">
        <f t="shared" si="0"/>
        <v>0</v>
      </c>
      <c r="C34" s="192">
        <f t="shared" si="1"/>
        <v>0</v>
      </c>
      <c r="D34" s="195">
        <f t="shared" si="2"/>
        <v>0</v>
      </c>
    </row>
    <row r="35" spans="1:4" ht="15" customHeight="1" x14ac:dyDescent="0.25">
      <c r="A35" s="243">
        <v>13</v>
      </c>
      <c r="B35" s="192">
        <f t="shared" si="0"/>
        <v>0</v>
      </c>
      <c r="C35" s="192">
        <f t="shared" si="1"/>
        <v>0</v>
      </c>
      <c r="D35" s="195">
        <f t="shared" si="2"/>
        <v>0</v>
      </c>
    </row>
    <row r="36" spans="1:4" ht="15" customHeight="1" x14ac:dyDescent="0.25">
      <c r="A36" s="243">
        <v>14</v>
      </c>
      <c r="B36" s="192">
        <f t="shared" si="0"/>
        <v>0</v>
      </c>
      <c r="C36" s="192">
        <f t="shared" si="1"/>
        <v>0</v>
      </c>
      <c r="D36" s="195">
        <f t="shared" si="2"/>
        <v>0</v>
      </c>
    </row>
    <row r="37" spans="1:4" ht="15" customHeight="1" x14ac:dyDescent="0.25">
      <c r="A37" s="243">
        <v>15</v>
      </c>
      <c r="B37" s="192">
        <f t="shared" si="0"/>
        <v>0</v>
      </c>
      <c r="C37" s="192">
        <f t="shared" si="1"/>
        <v>0</v>
      </c>
      <c r="D37" s="195">
        <f t="shared" si="2"/>
        <v>0</v>
      </c>
    </row>
    <row r="38" spans="1:4" ht="15" customHeight="1" x14ac:dyDescent="0.25">
      <c r="A38" s="243">
        <v>16</v>
      </c>
      <c r="B38" s="192">
        <f t="shared" si="0"/>
        <v>0</v>
      </c>
      <c r="C38" s="192">
        <f t="shared" si="1"/>
        <v>0</v>
      </c>
      <c r="D38" s="195">
        <f t="shared" si="2"/>
        <v>0</v>
      </c>
    </row>
    <row r="39" spans="1:4" ht="15" customHeight="1" x14ac:dyDescent="0.25">
      <c r="A39" s="243">
        <v>17</v>
      </c>
      <c r="B39" s="192">
        <f t="shared" si="0"/>
        <v>0</v>
      </c>
      <c r="C39" s="192">
        <f t="shared" si="1"/>
        <v>0</v>
      </c>
      <c r="D39" s="195">
        <f t="shared" si="2"/>
        <v>0</v>
      </c>
    </row>
    <row r="40" spans="1:4" ht="15" customHeight="1" x14ac:dyDescent="0.25">
      <c r="A40" s="243">
        <v>18</v>
      </c>
      <c r="B40" s="192">
        <f t="shared" si="0"/>
        <v>0</v>
      </c>
      <c r="C40" s="192">
        <f t="shared" si="1"/>
        <v>0</v>
      </c>
      <c r="D40" s="195">
        <f t="shared" si="2"/>
        <v>0</v>
      </c>
    </row>
    <row r="41" spans="1:4" ht="15" customHeight="1" x14ac:dyDescent="0.25">
      <c r="A41" s="243">
        <v>19</v>
      </c>
      <c r="B41" s="192">
        <f t="shared" si="0"/>
        <v>0</v>
      </c>
      <c r="C41" s="192">
        <f t="shared" si="1"/>
        <v>0</v>
      </c>
      <c r="D41" s="195">
        <f t="shared" si="2"/>
        <v>0</v>
      </c>
    </row>
    <row r="42" spans="1:4" ht="15" customHeight="1" x14ac:dyDescent="0.25">
      <c r="A42" s="243">
        <v>20</v>
      </c>
      <c r="B42" s="192">
        <f t="shared" si="0"/>
        <v>0</v>
      </c>
      <c r="C42" s="192">
        <f t="shared" si="1"/>
        <v>0</v>
      </c>
      <c r="D42" s="195">
        <f t="shared" si="2"/>
        <v>0</v>
      </c>
    </row>
    <row r="43" spans="1:4" ht="15" customHeight="1" x14ac:dyDescent="0.25">
      <c r="A43" s="243">
        <v>21</v>
      </c>
      <c r="B43" s="192">
        <f t="shared" si="0"/>
        <v>0</v>
      </c>
      <c r="C43" s="192">
        <f t="shared" si="1"/>
        <v>0</v>
      </c>
      <c r="D43" s="195">
        <f t="shared" si="2"/>
        <v>0</v>
      </c>
    </row>
    <row r="44" spans="1:4" ht="15" customHeight="1" x14ac:dyDescent="0.25">
      <c r="A44" s="243">
        <v>22</v>
      </c>
      <c r="B44" s="192">
        <f t="shared" si="0"/>
        <v>0</v>
      </c>
      <c r="C44" s="192">
        <f t="shared" si="1"/>
        <v>0</v>
      </c>
      <c r="D44" s="195">
        <f t="shared" si="2"/>
        <v>0</v>
      </c>
    </row>
    <row r="45" spans="1:4" ht="15" customHeight="1" x14ac:dyDescent="0.25">
      <c r="A45" s="243">
        <v>23</v>
      </c>
      <c r="B45" s="192">
        <f t="shared" si="0"/>
        <v>0</v>
      </c>
      <c r="C45" s="192">
        <f t="shared" si="1"/>
        <v>0</v>
      </c>
      <c r="D45" s="195">
        <f t="shared" si="2"/>
        <v>0</v>
      </c>
    </row>
    <row r="46" spans="1:4" ht="15" customHeight="1" x14ac:dyDescent="0.25">
      <c r="A46" s="243">
        <v>24</v>
      </c>
      <c r="B46" s="192">
        <f t="shared" si="0"/>
        <v>0</v>
      </c>
      <c r="C46" s="192">
        <f t="shared" si="1"/>
        <v>0</v>
      </c>
      <c r="D46" s="195">
        <f t="shared" si="2"/>
        <v>0</v>
      </c>
    </row>
    <row r="47" spans="1:4" ht="15" customHeight="1" x14ac:dyDescent="0.25">
      <c r="A47" s="243">
        <v>25</v>
      </c>
      <c r="B47" s="192">
        <f t="shared" si="0"/>
        <v>0</v>
      </c>
      <c r="C47" s="192">
        <f t="shared" si="1"/>
        <v>0</v>
      </c>
      <c r="D47" s="195">
        <f t="shared" si="2"/>
        <v>0</v>
      </c>
    </row>
    <row r="48" spans="1:4" ht="15" customHeight="1" x14ac:dyDescent="0.25">
      <c r="A48" s="243">
        <v>26</v>
      </c>
      <c r="B48" s="192">
        <f t="shared" si="0"/>
        <v>0</v>
      </c>
      <c r="C48" s="192">
        <f t="shared" si="1"/>
        <v>0</v>
      </c>
      <c r="D48" s="195">
        <f t="shared" si="2"/>
        <v>0</v>
      </c>
    </row>
    <row r="49" spans="1:4" ht="15" customHeight="1" x14ac:dyDescent="0.25">
      <c r="A49" s="243">
        <v>27</v>
      </c>
      <c r="B49" s="192">
        <f t="shared" si="0"/>
        <v>0</v>
      </c>
      <c r="C49" s="192">
        <f t="shared" si="1"/>
        <v>0</v>
      </c>
      <c r="D49" s="195">
        <f t="shared" si="2"/>
        <v>0</v>
      </c>
    </row>
    <row r="50" spans="1:4" ht="15" customHeight="1" x14ac:dyDescent="0.25">
      <c r="A50" s="243">
        <v>28</v>
      </c>
      <c r="B50" s="192">
        <f t="shared" si="0"/>
        <v>0</v>
      </c>
      <c r="C50" s="192">
        <f t="shared" si="1"/>
        <v>0</v>
      </c>
      <c r="D50" s="195">
        <f t="shared" si="2"/>
        <v>0</v>
      </c>
    </row>
    <row r="51" spans="1:4" ht="15" customHeight="1" x14ac:dyDescent="0.25">
      <c r="A51" s="243">
        <v>29</v>
      </c>
      <c r="B51" s="192">
        <f t="shared" si="0"/>
        <v>0</v>
      </c>
      <c r="C51" s="192">
        <f t="shared" si="1"/>
        <v>0</v>
      </c>
      <c r="D51" s="195">
        <f t="shared" si="2"/>
        <v>0</v>
      </c>
    </row>
    <row r="52" spans="1:4" ht="15" customHeight="1" x14ac:dyDescent="0.25">
      <c r="A52" s="244">
        <v>30</v>
      </c>
      <c r="B52" s="193">
        <f t="shared" si="0"/>
        <v>0</v>
      </c>
      <c r="C52" s="193">
        <f t="shared" si="1"/>
        <v>0</v>
      </c>
      <c r="D52" s="194">
        <f t="shared" si="2"/>
        <v>0</v>
      </c>
    </row>
    <row r="53" spans="1:4" ht="32.1" customHeight="1" x14ac:dyDescent="0.25">
      <c r="A53" s="270" t="s">
        <v>483</v>
      </c>
      <c r="B53" s="270"/>
      <c r="C53" s="270"/>
      <c r="D53" s="270"/>
    </row>
  </sheetData>
  <mergeCells count="6">
    <mergeCell ref="A53:D53"/>
    <mergeCell ref="A1:D1"/>
    <mergeCell ref="A2:D2"/>
    <mergeCell ref="A4:D4"/>
    <mergeCell ref="A15:D15"/>
    <mergeCell ref="A21:D21"/>
  </mergeCells>
  <dataValidations count="1">
    <dataValidation type="list" allowBlank="1" showInputMessage="1" showErrorMessage="1" sqref="D6:D13" xr:uid="{AF18F202-3627-4F14-A705-7EC875879244}">
      <mc:AlternateContent xmlns:x12ac="http://schemas.microsoft.com/office/spreadsheetml/2011/1/ac" xmlns:mc="http://schemas.openxmlformats.org/markup-compatibility/2006">
        <mc:Choice Requires="x12ac">
          <x12ac:list>"Cash,Aktiviert"</x12ac:list>
        </mc:Choice>
        <mc:Fallback>
          <formula1>"Cash,Aktiviert"</formula1>
        </mc:Fallback>
      </mc:AlternateContent>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CA04D-E94E-4B25-86E4-5C975693DC7E}">
  <sheetPr>
    <tabColor rgb="FFB4C7DC"/>
  </sheetPr>
  <dimension ref="A1:G31"/>
  <sheetViews>
    <sheetView topLeftCell="A15" workbookViewId="0">
      <selection sqref="A1:G1"/>
    </sheetView>
  </sheetViews>
  <sheetFormatPr baseColWidth="10" defaultRowHeight="15" x14ac:dyDescent="0.25"/>
  <cols>
    <col min="1" max="1" width="16.7109375" customWidth="1"/>
    <col min="2" max="2" width="14.7109375" customWidth="1"/>
    <col min="3" max="7" width="12.7109375" customWidth="1"/>
  </cols>
  <sheetData>
    <row r="1" spans="1:7" ht="30" customHeight="1" x14ac:dyDescent="0.3">
      <c r="A1" s="257" t="s">
        <v>496</v>
      </c>
      <c r="B1" s="257"/>
      <c r="C1" s="257"/>
      <c r="D1" s="257"/>
      <c r="E1" s="257"/>
      <c r="F1" s="257"/>
      <c r="G1" s="257"/>
    </row>
    <row r="2" spans="1:7" ht="42" customHeight="1" x14ac:dyDescent="0.25">
      <c r="A2" s="258" t="s">
        <v>497</v>
      </c>
      <c r="B2" s="258"/>
      <c r="C2" s="258"/>
      <c r="D2" s="258"/>
      <c r="E2" s="258"/>
      <c r="F2" s="258"/>
      <c r="G2" s="258"/>
    </row>
    <row r="4" spans="1:7" ht="15" customHeight="1" x14ac:dyDescent="0.25">
      <c r="A4" s="256" t="s">
        <v>498</v>
      </c>
      <c r="B4" s="256"/>
      <c r="C4" s="256"/>
      <c r="D4" s="256"/>
      <c r="E4" s="256"/>
      <c r="F4" s="256"/>
      <c r="G4" s="256"/>
    </row>
    <row r="5" spans="1:7" ht="15" customHeight="1" x14ac:dyDescent="0.25">
      <c r="A5" s="199" t="s">
        <v>499</v>
      </c>
    </row>
    <row r="6" spans="1:7" ht="18" customHeight="1" x14ac:dyDescent="0.25">
      <c r="A6" s="251" t="s">
        <v>549</v>
      </c>
      <c r="B6" s="245">
        <f>'Property Calculator'!B20</f>
        <v>4.1446533799171459E-2</v>
      </c>
      <c r="C6" s="200">
        <v>2.5000000000000001E-2</v>
      </c>
      <c r="D6" s="200">
        <v>3.5000000000000003E-2</v>
      </c>
      <c r="E6" s="200">
        <v>4.4999999999999998E-2</v>
      </c>
      <c r="F6" s="205">
        <v>5.5E-2</v>
      </c>
    </row>
    <row r="7" spans="1:7" ht="15" customHeight="1" x14ac:dyDescent="0.25">
      <c r="A7" s="252"/>
      <c r="B7" s="206">
        <v>300000</v>
      </c>
      <c r="C7" s="201">
        <f>'Property Calculator'!BB7</f>
        <v>5.5932614207267764E-2</v>
      </c>
      <c r="D7" s="201">
        <f>'Property Calculator'!BC7</f>
        <v>4.4320836663246155E-2</v>
      </c>
      <c r="E7" s="201">
        <f>'Property Calculator'!BD7</f>
        <v>3.1785693764686582E-2</v>
      </c>
      <c r="F7" s="207">
        <f>'Property Calculator'!BE7</f>
        <v>1.8397971987724308E-2</v>
      </c>
    </row>
    <row r="8" spans="1:7" ht="15" customHeight="1" x14ac:dyDescent="0.25">
      <c r="A8" s="252"/>
      <c r="B8" s="206">
        <v>325000</v>
      </c>
      <c r="C8" s="201">
        <f>'Property Calculator'!BB8</f>
        <v>5.5261567234992981E-2</v>
      </c>
      <c r="D8" s="201">
        <f>'Property Calculator'!BC8</f>
        <v>4.2837741971015919E-2</v>
      </c>
      <c r="E8" s="201">
        <f>'Property Calculator'!BD8</f>
        <v>2.9408302903175355E-2</v>
      </c>
      <c r="F8" s="207">
        <f>'Property Calculator'!BE8</f>
        <v>1.5049746632575987E-2</v>
      </c>
    </row>
    <row r="9" spans="1:7" ht="15" customHeight="1" x14ac:dyDescent="0.25">
      <c r="A9" s="252"/>
      <c r="B9" s="206">
        <v>350000</v>
      </c>
      <c r="C9" s="201">
        <f>'Property Calculator'!BB9</f>
        <v>5.4632380604743958E-2</v>
      </c>
      <c r="D9" s="208">
        <f>'Property Calculator'!BC9</f>
        <v>4.1446533799171459E-2</v>
      </c>
      <c r="E9" s="201">
        <f>'Property Calculator'!BD9</f>
        <v>2.7177503705024721E-2</v>
      </c>
      <c r="F9" s="207">
        <f>'Property Calculator'!BE9</f>
        <v>1.1907431483268737E-2</v>
      </c>
    </row>
    <row r="10" spans="1:7" ht="15" customHeight="1" x14ac:dyDescent="0.25">
      <c r="A10" s="252"/>
      <c r="B10" s="206">
        <v>375000</v>
      </c>
      <c r="C10" s="201">
        <f>'Property Calculator'!BB10</f>
        <v>5.404135286808015E-2</v>
      </c>
      <c r="D10" s="201">
        <f>'Property Calculator'!BC10</f>
        <v>4.0139374136924741E-2</v>
      </c>
      <c r="E10" s="201">
        <f>'Property Calculator'!BD10</f>
        <v>2.5081261992454536E-2</v>
      </c>
      <c r="F10" s="207">
        <f>'Property Calculator'!BE10</f>
        <v>8.9547127485275282E-3</v>
      </c>
    </row>
    <row r="11" spans="1:7" ht="15" customHeight="1" x14ac:dyDescent="0.25">
      <c r="A11" s="252"/>
      <c r="B11" s="202">
        <v>400000</v>
      </c>
      <c r="C11" s="203">
        <f>'Property Calculator'!BB11</f>
        <v>5.3485193848609933E-2</v>
      </c>
      <c r="D11" s="203">
        <f>'Property Calculator'!BC11</f>
        <v>3.8909223675727855E-2</v>
      </c>
      <c r="E11" s="203">
        <f>'Property Calculator'!BD11</f>
        <v>2.3108658194541932E-2</v>
      </c>
      <c r="F11" s="204">
        <f>'Property Calculator'!BE11</f>
        <v>6.1766892671585088E-3</v>
      </c>
    </row>
    <row r="13" spans="1:7" ht="15" customHeight="1" x14ac:dyDescent="0.25">
      <c r="A13" s="256" t="s">
        <v>500</v>
      </c>
      <c r="B13" s="256"/>
      <c r="C13" s="256"/>
      <c r="D13" s="256"/>
      <c r="E13" s="256"/>
      <c r="F13" s="256"/>
      <c r="G13" s="256"/>
    </row>
    <row r="14" spans="1:7" ht="15" customHeight="1" x14ac:dyDescent="0.25">
      <c r="A14" s="199" t="s">
        <v>501</v>
      </c>
    </row>
    <row r="15" spans="1:7" ht="18" customHeight="1" x14ac:dyDescent="0.25">
      <c r="A15" s="251" t="s">
        <v>549</v>
      </c>
      <c r="B15" s="245">
        <f>'Property Calculator'!B20</f>
        <v>4.1446533799171459E-2</v>
      </c>
      <c r="C15" s="209">
        <v>10</v>
      </c>
      <c r="D15" s="209">
        <v>11.25</v>
      </c>
      <c r="E15" s="209">
        <v>12.5</v>
      </c>
      <c r="F15" s="209">
        <v>13.75</v>
      </c>
      <c r="G15" s="210">
        <v>15</v>
      </c>
    </row>
    <row r="16" spans="1:7" ht="15" customHeight="1" x14ac:dyDescent="0.25">
      <c r="A16" s="252"/>
      <c r="B16" s="206">
        <v>300000</v>
      </c>
      <c r="C16" s="201">
        <f>'Property Calculator'!BB16</f>
        <v>3.0715337395668032E-2</v>
      </c>
      <c r="D16" s="201">
        <f>'Property Calculator'!BC16</f>
        <v>3.7497732043266313E-2</v>
      </c>
      <c r="E16" s="201">
        <f>'Property Calculator'!BD16</f>
        <v>4.4320836663246155E-2</v>
      </c>
      <c r="F16" s="201">
        <f>'Property Calculator'!BE16</f>
        <v>5.118485987186433E-2</v>
      </c>
      <c r="G16" s="207">
        <f>'Property Calculator'!BF16</f>
        <v>5.8089968562126157E-2</v>
      </c>
    </row>
    <row r="17" spans="1:7" ht="15" customHeight="1" x14ac:dyDescent="0.25">
      <c r="A17" s="252"/>
      <c r="B17" s="206">
        <v>325000</v>
      </c>
      <c r="C17" s="201">
        <f>'Property Calculator'!BB17</f>
        <v>2.9680088162422177E-2</v>
      </c>
      <c r="D17" s="201">
        <f>'Property Calculator'!BC17</f>
        <v>3.6237940192222595E-2</v>
      </c>
      <c r="E17" s="201">
        <f>'Property Calculator'!BD17</f>
        <v>4.2837741971015919E-2</v>
      </c>
      <c r="F17" s="201">
        <f>'Property Calculator'!BE17</f>
        <v>4.947979152202607E-2</v>
      </c>
      <c r="G17" s="207">
        <f>'Property Calculator'!BF17</f>
        <v>5.6164339184761047E-2</v>
      </c>
    </row>
    <row r="18" spans="1:7" ht="15" customHeight="1" x14ac:dyDescent="0.25">
      <c r="A18" s="252"/>
      <c r="B18" s="206">
        <v>350000</v>
      </c>
      <c r="C18" s="201">
        <f>'Property Calculator'!BB18</f>
        <v>2.8710779547691346E-2</v>
      </c>
      <c r="D18" s="201">
        <f>'Property Calculator'!BC18</f>
        <v>3.505730330944061E-2</v>
      </c>
      <c r="E18" s="208">
        <f>'Property Calculator'!BD18</f>
        <v>4.1446533799171459E-2</v>
      </c>
      <c r="F18" s="201">
        <f>'Property Calculator'!BE18</f>
        <v>4.7878846526145935E-2</v>
      </c>
      <c r="G18" s="207">
        <f>'Property Calculator'!BF18</f>
        <v>5.4354569315910345E-2</v>
      </c>
    </row>
    <row r="19" spans="1:7" ht="15" customHeight="1" x14ac:dyDescent="0.25">
      <c r="A19" s="252"/>
      <c r="B19" s="206">
        <v>375000</v>
      </c>
      <c r="C19" s="201">
        <f>'Property Calculator'!BB19</f>
        <v>2.7801510691642762E-2</v>
      </c>
      <c r="D19" s="201">
        <f>'Property Calculator'!BC19</f>
        <v>3.3948901295661929E-2</v>
      </c>
      <c r="E19" s="201">
        <f>'Property Calculator'!BD19</f>
        <v>4.0139374136924741E-2</v>
      </c>
      <c r="F19" s="201">
        <f>'Property Calculator'!BE19</f>
        <v>4.6373358368873602E-2</v>
      </c>
      <c r="G19" s="207">
        <f>'Property Calculator'!BF19</f>
        <v>5.2651259303092959E-2</v>
      </c>
    </row>
    <row r="20" spans="1:7" ht="15" customHeight="1" x14ac:dyDescent="0.25">
      <c r="A20" s="252"/>
      <c r="B20" s="202">
        <v>400000</v>
      </c>
      <c r="C20" s="203">
        <f>'Property Calculator'!BB20</f>
        <v>2.6947054266929626E-2</v>
      </c>
      <c r="D20" s="203">
        <f>'Property Calculator'!BC20</f>
        <v>3.2906565070152285E-2</v>
      </c>
      <c r="E20" s="203">
        <f>'Property Calculator'!BD20</f>
        <v>3.8909223675727855E-2</v>
      </c>
      <c r="F20" s="203">
        <f>'Property Calculator'!BE20</f>
        <v>4.495552480220795E-2</v>
      </c>
      <c r="G20" s="204">
        <f>'Property Calculator'!BF20</f>
        <v>5.1045909523963942E-2</v>
      </c>
    </row>
    <row r="22" spans="1:7" ht="15" customHeight="1" x14ac:dyDescent="0.25">
      <c r="A22" s="256" t="s">
        <v>502</v>
      </c>
      <c r="B22" s="256"/>
      <c r="C22" s="256"/>
      <c r="D22" s="256"/>
      <c r="E22" s="256"/>
      <c r="F22" s="256"/>
      <c r="G22" s="256"/>
    </row>
    <row r="23" spans="1:7" ht="15" customHeight="1" x14ac:dyDescent="0.25">
      <c r="A23" s="199" t="s">
        <v>503</v>
      </c>
    </row>
    <row r="24" spans="1:7" ht="18" customHeight="1" x14ac:dyDescent="0.25">
      <c r="A24" s="251" t="s">
        <v>549</v>
      </c>
      <c r="B24" s="245">
        <f>'Property Calculator'!B20</f>
        <v>4.1446533799171459E-2</v>
      </c>
      <c r="C24" s="200">
        <v>0.03</v>
      </c>
      <c r="D24" s="200">
        <v>0.04</v>
      </c>
      <c r="E24" s="200">
        <v>0.05</v>
      </c>
      <c r="F24" s="205">
        <v>0.06</v>
      </c>
    </row>
    <row r="25" spans="1:7" ht="15" customHeight="1" x14ac:dyDescent="0.25">
      <c r="A25" s="253"/>
      <c r="B25" s="212">
        <v>0</v>
      </c>
      <c r="C25" s="201">
        <f>'Property Calculator'!BB25</f>
        <v>-5.398168861865997E-2</v>
      </c>
      <c r="D25" s="201">
        <f>'Property Calculator'!BC25</f>
        <v>-5.398168861865997E-2</v>
      </c>
      <c r="E25" s="201">
        <f>'Property Calculator'!BD25</f>
        <v>-5.398168861865997E-2</v>
      </c>
      <c r="F25" s="207">
        <f>'Property Calculator'!BE25</f>
        <v>-5.398168861865997E-2</v>
      </c>
    </row>
    <row r="26" spans="1:7" ht="15" customHeight="1" x14ac:dyDescent="0.25">
      <c r="A26" s="253"/>
      <c r="B26" s="212">
        <v>1.4999999999999999E-2</v>
      </c>
      <c r="C26" s="201">
        <f>'Property Calculator'!BB26</f>
        <v>9.2271655797958388E-3</v>
      </c>
      <c r="D26" s="201">
        <f>'Property Calculator'!BC26</f>
        <v>9.2271655797958388E-3</v>
      </c>
      <c r="E26" s="201">
        <f>'Property Calculator'!BD26</f>
        <v>9.2271655797958388E-3</v>
      </c>
      <c r="F26" s="207">
        <f>'Property Calculator'!BE26</f>
        <v>9.2271655797958388E-3</v>
      </c>
    </row>
    <row r="27" spans="1:7" ht="15" customHeight="1" x14ac:dyDescent="0.25">
      <c r="A27" s="253"/>
      <c r="B27" s="212">
        <v>2.5000000000000001E-2</v>
      </c>
      <c r="C27" s="201">
        <f>'Property Calculator'!BB27</f>
        <v>4.1446533799171459E-2</v>
      </c>
      <c r="D27" s="208">
        <f>'Property Calculator'!BC27</f>
        <v>4.1446533799171459E-2</v>
      </c>
      <c r="E27" s="201">
        <f>'Property Calculator'!BD27</f>
        <v>4.1446533799171459E-2</v>
      </c>
      <c r="F27" s="207">
        <f>'Property Calculator'!BE27</f>
        <v>4.1446533799171459E-2</v>
      </c>
    </row>
    <row r="28" spans="1:7" ht="15" customHeight="1" x14ac:dyDescent="0.25">
      <c r="A28" s="253"/>
      <c r="B28" s="212">
        <v>3.5000000000000003E-2</v>
      </c>
      <c r="C28" s="201">
        <f>'Property Calculator'!BB28</f>
        <v>6.9195899367332461E-2</v>
      </c>
      <c r="D28" s="201">
        <f>'Property Calculator'!BC28</f>
        <v>6.9195899367332461E-2</v>
      </c>
      <c r="E28" s="201">
        <f>'Property Calculator'!BD28</f>
        <v>6.9195899367332461E-2</v>
      </c>
      <c r="F28" s="207">
        <f>'Property Calculator'!BE28</f>
        <v>6.9195899367332461E-2</v>
      </c>
    </row>
    <row r="29" spans="1:7" ht="15" customHeight="1" x14ac:dyDescent="0.25">
      <c r="A29" s="253"/>
      <c r="B29" s="211">
        <v>0.05</v>
      </c>
      <c r="C29" s="203">
        <f>'Property Calculator'!BB29</f>
        <v>0.10534586310386657</v>
      </c>
      <c r="D29" s="203">
        <f>'Property Calculator'!BC29</f>
        <v>0.10534586310386657</v>
      </c>
      <c r="E29" s="203">
        <f>'Property Calculator'!BD29</f>
        <v>0.10534586310386657</v>
      </c>
      <c r="F29" s="204">
        <f>'Property Calculator'!BE29</f>
        <v>0.10534586310386657</v>
      </c>
    </row>
    <row r="31" spans="1:7" ht="32.1" customHeight="1" x14ac:dyDescent="0.25">
      <c r="A31" s="271" t="s">
        <v>504</v>
      </c>
      <c r="B31" s="271"/>
      <c r="C31" s="271"/>
      <c r="D31" s="271"/>
      <c r="E31" s="271"/>
      <c r="F31" s="271"/>
      <c r="G31" s="271"/>
    </row>
  </sheetData>
  <mergeCells count="6">
    <mergeCell ref="A31:G31"/>
    <mergeCell ref="A1:G1"/>
    <mergeCell ref="A2:G2"/>
    <mergeCell ref="A4:G4"/>
    <mergeCell ref="A13:G13"/>
    <mergeCell ref="A22:G2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DC"/>
  </sheetPr>
  <dimension ref="A1:F85"/>
  <sheetViews>
    <sheetView showGridLines="0" topLeftCell="A53" workbookViewId="0">
      <selection sqref="A1:D1"/>
    </sheetView>
  </sheetViews>
  <sheetFormatPr baseColWidth="10" defaultColWidth="8.7109375" defaultRowHeight="15" x14ac:dyDescent="0.25"/>
  <cols>
    <col min="1" max="1" width="42" style="70" customWidth="1"/>
    <col min="2" max="5" width="18" style="70" customWidth="1"/>
    <col min="6" max="6" width="16" style="70" customWidth="1"/>
  </cols>
  <sheetData>
    <row r="1" spans="1:6" ht="30" customHeight="1" x14ac:dyDescent="0.25">
      <c r="A1" s="264" t="s">
        <v>165</v>
      </c>
      <c r="B1" s="262"/>
      <c r="C1" s="262"/>
      <c r="D1" s="262"/>
    </row>
    <row r="2" spans="1:6" ht="27.95" customHeight="1" x14ac:dyDescent="0.25">
      <c r="A2" s="274" t="s">
        <v>166</v>
      </c>
      <c r="B2" s="262"/>
      <c r="C2" s="262"/>
      <c r="D2" s="262"/>
      <c r="E2" s="62"/>
      <c r="F2" s="62"/>
    </row>
    <row r="3" spans="1:6" ht="15" customHeight="1" x14ac:dyDescent="0.25"/>
    <row r="4" spans="1:6" ht="15" customHeight="1" x14ac:dyDescent="0.25">
      <c r="A4" s="267" t="s">
        <v>167</v>
      </c>
      <c r="B4" s="262"/>
      <c r="C4" s="262"/>
      <c r="D4" s="262"/>
    </row>
    <row r="5" spans="1:6" ht="15" customHeight="1" x14ac:dyDescent="0.25">
      <c r="A5" s="65" t="s">
        <v>168</v>
      </c>
      <c r="B5" s="50" t="s">
        <v>169</v>
      </c>
      <c r="C5" s="50" t="s">
        <v>170</v>
      </c>
      <c r="D5" s="50" t="s">
        <v>171</v>
      </c>
    </row>
    <row r="6" spans="1:6" ht="15" customHeight="1" x14ac:dyDescent="0.25">
      <c r="A6" s="2" t="s">
        <v>172</v>
      </c>
      <c r="B6" s="99">
        <v>0.15</v>
      </c>
      <c r="C6" s="99">
        <v>0</v>
      </c>
      <c r="D6" s="99">
        <v>-0.1</v>
      </c>
    </row>
    <row r="7" spans="1:6" ht="15" customHeight="1" x14ac:dyDescent="0.25">
      <c r="A7" s="2" t="s">
        <v>102</v>
      </c>
      <c r="B7" s="99">
        <v>-0.15</v>
      </c>
      <c r="C7" s="99">
        <v>0</v>
      </c>
      <c r="D7" s="99">
        <v>0.1</v>
      </c>
    </row>
    <row r="8" spans="1:6" ht="15" customHeight="1" x14ac:dyDescent="0.25">
      <c r="A8" s="2" t="s">
        <v>173</v>
      </c>
      <c r="B8" s="99">
        <v>0.15</v>
      </c>
      <c r="C8" s="99">
        <v>0</v>
      </c>
      <c r="D8" s="99">
        <v>-0.1</v>
      </c>
    </row>
    <row r="9" spans="1:6" ht="15" customHeight="1" x14ac:dyDescent="0.25">
      <c r="A9" s="2" t="s">
        <v>174</v>
      </c>
      <c r="B9" s="99">
        <v>-0.15</v>
      </c>
      <c r="C9" s="99">
        <v>0</v>
      </c>
      <c r="D9" s="99">
        <v>0.1</v>
      </c>
    </row>
    <row r="10" spans="1:6" ht="15" customHeight="1" x14ac:dyDescent="0.25">
      <c r="A10" s="2" t="s">
        <v>175</v>
      </c>
      <c r="B10" s="99">
        <v>-0.15</v>
      </c>
      <c r="C10" s="99">
        <v>0</v>
      </c>
      <c r="D10" s="99">
        <v>0.1</v>
      </c>
    </row>
    <row r="11" spans="1:6" ht="15" customHeight="1" x14ac:dyDescent="0.25">
      <c r="A11" s="2" t="s">
        <v>176</v>
      </c>
      <c r="B11" s="99">
        <v>0.15</v>
      </c>
      <c r="C11" s="99">
        <v>0</v>
      </c>
      <c r="D11" s="99">
        <v>-0.1</v>
      </c>
    </row>
    <row r="12" spans="1:6" ht="15" customHeight="1" x14ac:dyDescent="0.25">
      <c r="A12" s="2" t="s">
        <v>177</v>
      </c>
      <c r="B12" s="99">
        <v>0.15</v>
      </c>
      <c r="C12" s="99">
        <v>0</v>
      </c>
      <c r="D12" s="99">
        <v>-0.1</v>
      </c>
    </row>
    <row r="13" spans="1:6" ht="15" customHeight="1" x14ac:dyDescent="0.25">
      <c r="A13" s="2" t="s">
        <v>178</v>
      </c>
      <c r="B13" s="99">
        <v>-0.15</v>
      </c>
      <c r="C13" s="99">
        <v>0</v>
      </c>
      <c r="D13" s="99">
        <v>0.1</v>
      </c>
    </row>
    <row r="14" spans="1:6" ht="15" customHeight="1" x14ac:dyDescent="0.25">
      <c r="A14" s="2" t="s">
        <v>179</v>
      </c>
      <c r="B14" s="99">
        <v>0.15</v>
      </c>
      <c r="C14" s="99">
        <v>0</v>
      </c>
      <c r="D14" s="99">
        <v>-0.1</v>
      </c>
    </row>
    <row r="15" spans="1:6" ht="15" customHeight="1" x14ac:dyDescent="0.25">
      <c r="A15" s="2" t="s">
        <v>180</v>
      </c>
      <c r="B15" s="99">
        <v>0.15</v>
      </c>
      <c r="C15" s="99">
        <v>0</v>
      </c>
      <c r="D15" s="99">
        <v>-0.1</v>
      </c>
    </row>
    <row r="16" spans="1:6" ht="15" customHeight="1" x14ac:dyDescent="0.25"/>
    <row r="17" spans="1:4" ht="15" customHeight="1" x14ac:dyDescent="0.25">
      <c r="A17" s="267" t="s">
        <v>181</v>
      </c>
      <c r="B17" s="262"/>
      <c r="C17" s="262"/>
      <c r="D17" s="262"/>
    </row>
    <row r="18" spans="1:4" ht="15" customHeight="1" x14ac:dyDescent="0.25">
      <c r="A18" s="65" t="s">
        <v>168</v>
      </c>
      <c r="B18" s="50" t="s">
        <v>169</v>
      </c>
      <c r="C18" s="50" t="s">
        <v>170</v>
      </c>
      <c r="D18" s="50" t="s">
        <v>171</v>
      </c>
    </row>
    <row r="19" spans="1:4" ht="15" customHeight="1" x14ac:dyDescent="0.25">
      <c r="A19" s="2" t="s">
        <v>172</v>
      </c>
      <c r="B19" s="100">
        <f>'Property Calculator'!B27*(1+B6)</f>
        <v>402499.99999999994</v>
      </c>
      <c r="C19" s="100">
        <f>'Property Calculator'!B27*(1+C6)</f>
        <v>350000</v>
      </c>
      <c r="D19" s="100">
        <f>'Property Calculator'!B27*(1+D6)</f>
        <v>315000</v>
      </c>
    </row>
    <row r="20" spans="1:4" ht="15" customHeight="1" x14ac:dyDescent="0.25">
      <c r="A20" s="2" t="s">
        <v>102</v>
      </c>
      <c r="B20" s="100">
        <f>'Property Calculator'!B77*(1+B7)</f>
        <v>10.625</v>
      </c>
      <c r="C20" s="100">
        <f>'Property Calculator'!B77*(1+C7)</f>
        <v>12.5</v>
      </c>
      <c r="D20" s="100">
        <f>'Property Calculator'!B77*(1+D7)</f>
        <v>13.750000000000002</v>
      </c>
    </row>
    <row r="21" spans="1:4" ht="15" customHeight="1" x14ac:dyDescent="0.25">
      <c r="A21" s="2" t="s">
        <v>173</v>
      </c>
      <c r="B21" s="43">
        <f>'Property Calculator'!B65*(1+B8)</f>
        <v>4.0250000000000001E-2</v>
      </c>
      <c r="C21" s="43">
        <f>'Property Calculator'!B65*(1+C8)</f>
        <v>3.5000000000000003E-2</v>
      </c>
      <c r="D21" s="43">
        <f>'Property Calculator'!B65*(1+D8)</f>
        <v>3.1500000000000007E-2</v>
      </c>
    </row>
    <row r="22" spans="1:4" ht="15" customHeight="1" x14ac:dyDescent="0.25">
      <c r="A22" s="2" t="s">
        <v>174</v>
      </c>
      <c r="B22" s="43">
        <f>'Property Calculator'!B66*(1+B9)</f>
        <v>1.6052558156500096E-2</v>
      </c>
      <c r="C22" s="43">
        <f>'Property Calculator'!B66*(1+C9)</f>
        <v>1.8885362537058935E-2</v>
      </c>
      <c r="D22" s="43">
        <f>'Property Calculator'!B66*(1+D9)</f>
        <v>2.0773898790764831E-2</v>
      </c>
    </row>
    <row r="23" spans="1:4" ht="15" customHeight="1" x14ac:dyDescent="0.25">
      <c r="A23" s="2" t="s">
        <v>175</v>
      </c>
      <c r="B23" s="43">
        <f>'Property Calculator'!B83*(1+B10)</f>
        <v>1.7000000000000001E-2</v>
      </c>
      <c r="C23" s="43">
        <f>'Property Calculator'!B83*(1+C10)</f>
        <v>0.02</v>
      </c>
      <c r="D23" s="43">
        <f>'Property Calculator'!B83*(1+D10)</f>
        <v>2.2000000000000002E-2</v>
      </c>
    </row>
    <row r="24" spans="1:4" ht="15" customHeight="1" x14ac:dyDescent="0.25">
      <c r="A24" s="2" t="s">
        <v>176</v>
      </c>
      <c r="B24" s="101">
        <f>'Property Calculator'!B93*(1+B11)</f>
        <v>3518.9999999999995</v>
      </c>
      <c r="C24" s="101">
        <f>'Property Calculator'!B93*(1+C11)</f>
        <v>3060</v>
      </c>
      <c r="D24" s="101">
        <f>'Property Calculator'!B93*(1+D11)</f>
        <v>2754</v>
      </c>
    </row>
    <row r="25" spans="1:4" ht="15" customHeight="1" x14ac:dyDescent="0.25">
      <c r="A25" s="2" t="s">
        <v>177</v>
      </c>
      <c r="B25" s="43">
        <f>'Property Calculator'!B80*(1+B12)</f>
        <v>2.3E-2</v>
      </c>
      <c r="C25" s="43">
        <f>'Property Calculator'!B80*(1+C12)</f>
        <v>0.02</v>
      </c>
      <c r="D25" s="43">
        <f>'Property Calculator'!B80*(1+D12)</f>
        <v>1.8000000000000002E-2</v>
      </c>
    </row>
    <row r="26" spans="1:4" ht="15" customHeight="1" x14ac:dyDescent="0.25">
      <c r="A26" s="2" t="s">
        <v>178</v>
      </c>
      <c r="B26" s="43">
        <f>'Property Calculator'!B12*(1+B13)</f>
        <v>2.1250000000000002E-2</v>
      </c>
      <c r="C26" s="43">
        <f>'Property Calculator'!B12*(1+C13)</f>
        <v>2.5000000000000001E-2</v>
      </c>
      <c r="D26" s="43">
        <f>'Property Calculator'!B12*(1+D13)</f>
        <v>2.7500000000000004E-2</v>
      </c>
    </row>
    <row r="27" spans="1:4" ht="15" customHeight="1" x14ac:dyDescent="0.25">
      <c r="A27" s="2" t="s">
        <v>179</v>
      </c>
      <c r="B27" s="101">
        <f>'Property Calculator'!B92*(1+B14)</f>
        <v>172.5</v>
      </c>
      <c r="C27" s="101">
        <f>'Property Calculator'!B92*(1+C14)</f>
        <v>150</v>
      </c>
      <c r="D27" s="101">
        <f>'Property Calculator'!B92*(1+D14)</f>
        <v>135</v>
      </c>
    </row>
    <row r="28" spans="1:4" ht="15" customHeight="1" x14ac:dyDescent="0.25">
      <c r="A28" s="2" t="s">
        <v>180</v>
      </c>
      <c r="B28" s="101">
        <f>'Property Calculator'!B87*(1+B15)</f>
        <v>919.99999999999989</v>
      </c>
      <c r="C28" s="101">
        <f>'Property Calculator'!B87*(1+C15)</f>
        <v>800</v>
      </c>
      <c r="D28" s="101">
        <f>'Property Calculator'!B87*(1+D15)</f>
        <v>720</v>
      </c>
    </row>
    <row r="29" spans="1:4" ht="15" customHeight="1" x14ac:dyDescent="0.25">
      <c r="A29" s="2" t="s">
        <v>182</v>
      </c>
      <c r="B29" s="44">
        <v>0.06</v>
      </c>
      <c r="C29" s="43">
        <f>'Property Calculator'!B73</f>
        <v>0.04</v>
      </c>
      <c r="D29" s="44">
        <v>2.5000000000000001E-2</v>
      </c>
    </row>
    <row r="30" spans="1:4" ht="15" customHeight="1" x14ac:dyDescent="0.25">
      <c r="A30" s="267" t="s">
        <v>183</v>
      </c>
      <c r="B30" s="262"/>
      <c r="C30" s="262"/>
      <c r="D30" s="262"/>
    </row>
    <row r="31" spans="1:4" ht="15" customHeight="1" x14ac:dyDescent="0.25">
      <c r="A31" s="65" t="s">
        <v>168</v>
      </c>
      <c r="B31" s="50" t="s">
        <v>169</v>
      </c>
      <c r="C31" s="50" t="s">
        <v>170</v>
      </c>
      <c r="D31" s="50" t="s">
        <v>171</v>
      </c>
    </row>
    <row r="32" spans="1:4" ht="15" customHeight="1" x14ac:dyDescent="0.25">
      <c r="A32" s="2" t="s">
        <v>184</v>
      </c>
      <c r="B32" s="102">
        <f>B20*'Property Calculator'!B28*12</f>
        <v>10200</v>
      </c>
      <c r="C32" s="102">
        <f>C20*'Property Calculator'!B28*12</f>
        <v>12000</v>
      </c>
      <c r="D32" s="102">
        <f>D20*'Property Calculator'!B28*12</f>
        <v>13200.000000000004</v>
      </c>
    </row>
    <row r="33" spans="1:6" ht="15" customHeight="1" x14ac:dyDescent="0.25">
      <c r="A33" s="2" t="s">
        <v>14</v>
      </c>
      <c r="B33" s="102">
        <f>B19+B19*('Property Calculator'!$B$37+'Property Calculator'!$B$39+'Property Calculator'!$B$41+'Property Calculator'!$B$43)+'Property Calculator'!$B$45+'Property Calculator'!$B$46+'Property Calculator'!$B$47</f>
        <v>455706.74999999994</v>
      </c>
      <c r="C33" s="102">
        <f>C19+C19*('Property Calculator'!$B$37+'Property Calculator'!$B$39+'Property Calculator'!$B$41+'Property Calculator'!$B$43)+'Property Calculator'!$B$45+'Property Calculator'!$B$46+'Property Calculator'!$B$47</f>
        <v>398445</v>
      </c>
      <c r="D33" s="102">
        <f>D19+D19*('Property Calculator'!$B$37+'Property Calculator'!$B$39+'Property Calculator'!$B$41+'Property Calculator'!$B$43)+'Property Calculator'!$B$45+'Property Calculator'!$B$46+'Property Calculator'!$B$47</f>
        <v>360270.5</v>
      </c>
    </row>
    <row r="34" spans="1:6" ht="15" customHeight="1" x14ac:dyDescent="0.25">
      <c r="A34" s="2" t="s">
        <v>15</v>
      </c>
      <c r="B34" s="102">
        <f>B33-'Property Calculator'!$B$63</f>
        <v>375706.74999999994</v>
      </c>
      <c r="C34" s="102">
        <f>C33-'Property Calculator'!$B$63</f>
        <v>318445</v>
      </c>
      <c r="D34" s="102">
        <f>D33-'Property Calculator'!$B$63</f>
        <v>280270.5</v>
      </c>
    </row>
    <row r="35" spans="1:6" ht="15" customHeight="1" x14ac:dyDescent="0.25">
      <c r="A35" s="2" t="s">
        <v>185</v>
      </c>
      <c r="B35" s="102">
        <f>B34*(B21+B22)</f>
        <v>21153.251141664638</v>
      </c>
      <c r="C35" s="102">
        <f>'Property Calculator'!$B$111</f>
        <v>17159.524273113737</v>
      </c>
      <c r="D35" s="102">
        <f>D34*(D21+D22)</f>
        <v>14650.831751037058</v>
      </c>
    </row>
    <row r="36" spans="1:6" ht="15" customHeight="1" x14ac:dyDescent="0.25">
      <c r="A36" s="2" t="s">
        <v>186</v>
      </c>
      <c r="B36" s="102">
        <f>B35-(B34-E53)</f>
        <v>15009.682906008682</v>
      </c>
      <c r="C36" s="102">
        <f>'Property Calculator'!$B$107</f>
        <v>11048.157106934035</v>
      </c>
      <c r="D36" s="102">
        <f>D35-(D34-F53)</f>
        <v>8743.7212508142875</v>
      </c>
    </row>
    <row r="37" spans="1:6" ht="15" customHeight="1" x14ac:dyDescent="0.25">
      <c r="A37" s="2" t="s">
        <v>187</v>
      </c>
      <c r="B37" s="102">
        <f>((B19*(1+'Property Calculator'!$B$37+'Property Calculator'!$B$39+'Property Calculator'!$B$41+'Property Calculator'!$B$43)*'Property Calculator'!$B$96)+'Property Calculator'!$B$59)*'Property Calculator'!$B$98</f>
        <v>7024.1079999999984</v>
      </c>
      <c r="C37" s="102">
        <f>'Property Calculator'!$B$99</f>
        <v>6107.92</v>
      </c>
      <c r="D37" s="102">
        <f>((D19*(1+'Property Calculator'!$B$37+'Property Calculator'!$B$39+'Property Calculator'!$B$41+'Property Calculator'!$B$43)*'Property Calculator'!$B$96)+'Property Calculator'!$B$59)*'Property Calculator'!$B$98</f>
        <v>5497.1279999999997</v>
      </c>
    </row>
    <row r="38" spans="1:6" ht="15" customHeight="1" x14ac:dyDescent="0.25">
      <c r="A38" s="2" t="s">
        <v>188</v>
      </c>
      <c r="B38" s="102">
        <f>-((B32*(1-B25))-(B24-B28)-B36-B37-'Property Calculator'!$B$101-'Property Calculator'!$B$58)*'Property Calculator'!$B$100</f>
        <v>12544.304180523646</v>
      </c>
      <c r="C38" s="102">
        <f>'Property Calculator'!$B$110</f>
        <v>9599.5523849122928</v>
      </c>
      <c r="D38" s="102">
        <f>-((D32*(1-D25))-(D24-D28)-D36-D37-'Property Calculator'!$B$101-'Property Calculator'!$B$58)*'Property Calculator'!$B$100</f>
        <v>7775.2286853419982</v>
      </c>
    </row>
    <row r="39" spans="1:6" ht="15" customHeight="1" x14ac:dyDescent="0.25">
      <c r="A39" s="2" t="s">
        <v>189</v>
      </c>
      <c r="B39" s="102">
        <f>INDEX($E$53:$E$82,'Property Calculator'!$B$11)</f>
        <v>301603.15021893627</v>
      </c>
      <c r="C39" s="102">
        <f>'Property Calculator'!$B$14</f>
        <v>246562.01314562609</v>
      </c>
      <c r="D39" s="102">
        <f>INDEX($F$53:$F$82,'Property Calculator'!$B$11)</f>
        <v>211938.02812760751</v>
      </c>
    </row>
    <row r="40" spans="1:6" ht="15" customHeight="1" x14ac:dyDescent="0.25">
      <c r="A40" s="2" t="s">
        <v>190</v>
      </c>
      <c r="B40" s="46">
        <f>B29</f>
        <v>0.06</v>
      </c>
      <c r="C40" s="46">
        <f>C29</f>
        <v>0.04</v>
      </c>
      <c r="D40" s="46">
        <f>D29</f>
        <v>2.5000000000000001E-2</v>
      </c>
    </row>
    <row r="41" spans="1:6" ht="15" customHeight="1" x14ac:dyDescent="0.25">
      <c r="A41" s="267" t="s">
        <v>191</v>
      </c>
      <c r="B41" s="262"/>
      <c r="C41" s="262"/>
      <c r="D41" s="262"/>
      <c r="E41" s="272" t="s">
        <v>192</v>
      </c>
      <c r="F41" s="273"/>
    </row>
    <row r="42" spans="1:6" ht="15" customHeight="1" x14ac:dyDescent="0.25">
      <c r="A42" s="65" t="s">
        <v>168</v>
      </c>
      <c r="B42" s="103" t="s">
        <v>169</v>
      </c>
      <c r="C42" s="103" t="s">
        <v>170</v>
      </c>
      <c r="D42" s="103" t="s">
        <v>171</v>
      </c>
      <c r="E42" s="56" t="s">
        <v>193</v>
      </c>
      <c r="F42" s="56" t="s">
        <v>18</v>
      </c>
    </row>
    <row r="43" spans="1:6" ht="15" customHeight="1" x14ac:dyDescent="0.25">
      <c r="A43" s="1" t="s">
        <v>34</v>
      </c>
      <c r="B43" s="104">
        <f>B53</f>
        <v>-2162.5469611409917</v>
      </c>
      <c r="C43" s="104">
        <f>'Property Calculator'!B112</f>
        <v>1140.028111798556</v>
      </c>
      <c r="D43" s="104">
        <f>D53</f>
        <v>3332.7969343049435</v>
      </c>
      <c r="E43" s="59" t="s">
        <v>169</v>
      </c>
      <c r="F43" s="105">
        <f>'Return Details'!$B$40</f>
        <v>1.0544529263650451</v>
      </c>
    </row>
    <row r="44" spans="1:6" ht="15" customHeight="1" x14ac:dyDescent="0.25">
      <c r="A44" s="1" t="s">
        <v>1</v>
      </c>
      <c r="B44" s="45">
        <f>IFERROR(B32/B19,"—")</f>
        <v>2.5341614906832302E-2</v>
      </c>
      <c r="C44" s="45">
        <f>IFERROR(C32/C19,"—")</f>
        <v>3.4285714285714287E-2</v>
      </c>
      <c r="D44" s="45">
        <f>IFERROR(D32/D19,"—")</f>
        <v>4.1904761904761917E-2</v>
      </c>
      <c r="E44" s="59" t="s">
        <v>170</v>
      </c>
      <c r="F44" s="105">
        <f>'Return Details'!$C$40</f>
        <v>1.3929346754399534</v>
      </c>
    </row>
    <row r="45" spans="1:6" ht="15" customHeight="1" x14ac:dyDescent="0.25">
      <c r="A45" s="1" t="s">
        <v>2</v>
      </c>
      <c r="B45" s="45">
        <f>IFERROR((B32*(1-B25)-B24)/B33,"—")</f>
        <v>1.4145939247114511E-2</v>
      </c>
      <c r="C45" s="45">
        <f>IFERROR((C32*(1-C25)-C24)/C33,"—")</f>
        <v>2.1834883108082671E-2</v>
      </c>
      <c r="D45" s="45">
        <f>IFERROR((D32*(1-D25)-D24)/D33,"—")</f>
        <v>2.8335375780142984E-2</v>
      </c>
      <c r="E45" s="59" t="s">
        <v>171</v>
      </c>
      <c r="F45" s="105">
        <f>'Return Details'!$D$40</f>
        <v>1.771041779183945</v>
      </c>
    </row>
    <row r="46" spans="1:6" ht="15" customHeight="1" x14ac:dyDescent="0.25">
      <c r="A46" s="1" t="s">
        <v>3</v>
      </c>
      <c r="B46" s="45">
        <f>'Return Details'!$B$39</f>
        <v>7.1317046880722051E-3</v>
      </c>
      <c r="C46" s="45">
        <f>'Return Details'!$C$39</f>
        <v>4.1446533799171459E-2</v>
      </c>
      <c r="D46" s="45">
        <f>'Return Details'!$D$39</f>
        <v>6.7290046811103801E-2</v>
      </c>
    </row>
    <row r="47" spans="1:6" ht="15" customHeight="1" x14ac:dyDescent="0.25">
      <c r="A47" s="1" t="s">
        <v>194</v>
      </c>
      <c r="B47" s="104">
        <f>IFERROR(((B24-B28)+(B28+B35-'Property Calculator'!$B$100*(B36+B37+'Property Calculator'!$B$101+'Property Calculator'!$B$58))/(1-'Property Calculator'!$B$100))/(1-B25)/12,0)</f>
        <v>1168.0253534072449</v>
      </c>
      <c r="C47" s="104">
        <f>'Property Calculator'!$B$23</f>
        <v>832.86005867368112</v>
      </c>
      <c r="D47" s="104">
        <f>IFERROR(((D24-D28)+(D28+D35-'Property Calculator'!$B$100*(D36+D37+'Property Calculator'!$B$101+'Property Calculator'!$B$58))/(1-'Property Calculator'!$B$100))/(1-D25)/12,0)</f>
        <v>612.37257205782487</v>
      </c>
    </row>
    <row r="48" spans="1:6" ht="15" customHeight="1" x14ac:dyDescent="0.25">
      <c r="A48" s="1" t="s">
        <v>195</v>
      </c>
      <c r="B48" s="104">
        <f>B19*(1+B26)^'Property Calculator'!B11</f>
        <v>496691.33100468782</v>
      </c>
      <c r="C48" s="104">
        <f>C19*(1+C26)^'Property Calculator'!B11</f>
        <v>448029.59046872496</v>
      </c>
      <c r="D48" s="104">
        <f>D19*(1+D26)^'Property Calculator'!B11</f>
        <v>413170.07526483346</v>
      </c>
    </row>
    <row r="49" spans="1:6" ht="15" customHeight="1" x14ac:dyDescent="0.25">
      <c r="A49" s="1" t="s">
        <v>17</v>
      </c>
      <c r="B49" s="104">
        <f>SUM('Return Details'!$D$4:$D$34)</f>
        <v>8314.6890780603862</v>
      </c>
      <c r="C49" s="104">
        <f>SUM('Return Details'!$G$4:$G$34)</f>
        <v>49359.761570190094</v>
      </c>
      <c r="D49" s="104">
        <f>SUM('Return Details'!$J$4:$J$34)</f>
        <v>78922.580227219529</v>
      </c>
    </row>
    <row r="50" spans="1:6" ht="15" customHeight="1" x14ac:dyDescent="0.25">
      <c r="A50" t="s">
        <v>16</v>
      </c>
      <c r="B50" s="106">
        <f>B48*(1-'Exit Analysis'!$B$5)-IF('Property Calculator'!$B$11&lt;10,MAX(0,B48-(B19*(1+'Property Calculator'!$B$37+'Property Calculator'!$B$39+'Property Calculator'!$B$41+'Property Calculator'!$B$43)+'Property Calculator'!$B$59)+B37*'Property Calculator'!$B$11-B48*'Exit Analysis'!$B$5)*'Property Calculator'!$B$100,0)-B39</f>
        <v>170253.61423551716</v>
      </c>
      <c r="C50" s="106">
        <f>'Exit Analysis'!$B$18</f>
        <v>179066.09779966265</v>
      </c>
      <c r="D50" s="106">
        <f>D48*(1-'Exit Analysis'!$B$5)-IF('Property Calculator'!$B$11&lt;10,MAX(0,D48-(D19*(1+'Property Calculator'!$B$37+'Property Calculator'!$B$39+'Property Calculator'!$B$41+'Property Calculator'!$B$43)+'Property Calculator'!$B$59)+D37*'Property Calculator'!$B$11-D48*'Exit Analysis'!$B$5)*'Property Calculator'!$B$100,0)-D39</f>
        <v>180573.54337398426</v>
      </c>
    </row>
    <row r="51" spans="1:6" ht="15" customHeight="1" x14ac:dyDescent="0.25">
      <c r="A51" s="24" t="s">
        <v>196</v>
      </c>
    </row>
    <row r="52" spans="1:6" x14ac:dyDescent="0.25">
      <c r="A52" s="25" t="s">
        <v>197</v>
      </c>
      <c r="B52" s="25" t="s">
        <v>198</v>
      </c>
      <c r="C52" s="25" t="s">
        <v>199</v>
      </c>
      <c r="D52" s="25" t="s">
        <v>200</v>
      </c>
      <c r="E52" s="25" t="s">
        <v>201</v>
      </c>
      <c r="F52" s="25" t="s">
        <v>202</v>
      </c>
    </row>
    <row r="53" spans="1:6" x14ac:dyDescent="0.25">
      <c r="A53">
        <v>1</v>
      </c>
      <c r="B53" s="107">
        <f>IF(A53&gt;'Property Calculator'!$B$11,0,IFERROR(B$32*(1-B$25)*(1+B$23)^(A53-1)-((('Property Calculator'!$B$93-'Property Calculator'!$B$87-'Property Calculator'!$B$92)*(1+B$11)+B$28+B$27)*(1+'Property Calculator'!$B$16)^(A53-1))-IF(A53&lt;='Property Calculator'!$B$69,B$35,IF(A53&lt;='Property Calculator'!$B$70,PMT(B$29/12,('Property Calculator'!$B$70-'Property Calculator'!$B$69)*12,-INDEX($E$53:$E$82,'Property Calculator'!$B$69))*12,0))-((B$32*(1-B$25)*(1+B$23)^(A53-1)-(((('Property Calculator'!$B$93-'Property Calculator'!$B$87-'Property Calculator'!$B$92)*(1+B$11)+B$28+B$27)*(1+'Property Calculator'!$B$16)^(A53-1))-B$28*(1+'Property Calculator'!$B$16)^(A53-1))-(IF(A53&lt;='Property Calculator'!$B$69,B$35,IF(A53&lt;='Property Calculator'!$B$70,PMT(B$29/12,('Property Calculator'!$B$70-'Property Calculator'!$B$69)*12,-INDEX($E$53:$E$82,'Property Calculator'!$B$69))*12,0))-(B$34-E53))-B$37-'Property Calculator'!$B$101-IF(A53=1,'Property Calculator'!$B$58,0))*'Property Calculator'!$B$100),0))</f>
        <v>-2162.5469611409917</v>
      </c>
      <c r="C53" s="107">
        <f>IF(A53&gt;'Property Calculator'!$B$11,0,INDEX('Property Calculator'!$B$112:$AE$112,1,A53))</f>
        <v>1140.028111798556</v>
      </c>
      <c r="D53" s="107">
        <f>IF(A53&gt;'Property Calculator'!$B$11,0,IFERROR(D$32*(1-D$25)*(1+D$23)^(A53-1)-((('Property Calculator'!$B$93-'Property Calculator'!$B$87-'Property Calculator'!$B$92)*(1+D$11)+D$28+D$27)*(1+'Property Calculator'!$B$16)^(A53-1))-IF(A53&lt;='Property Calculator'!$B$69,D$35,IF(A53&lt;='Property Calculator'!$B$70,PMT(D$29/12,('Property Calculator'!$B$70-'Property Calculator'!$B$69)*12,-INDEX($F$53:$F$82,'Property Calculator'!$B$69))*12,0))-((D$32*(1-D$25)*(1+D$23)^(A53-1)-(((('Property Calculator'!$B$93-'Property Calculator'!$B$87-'Property Calculator'!$B$92)*(1+D$11)+D$28+D$27)*(1+'Property Calculator'!$B$16)^(A53-1))-D$28*(1+'Property Calculator'!$B$16)^(A53-1))-(IF(A53&lt;='Property Calculator'!$B$69,D$35,IF(A53&lt;='Property Calculator'!$B$70,PMT(D$29/12,('Property Calculator'!$B$70-'Property Calculator'!$B$69)*12,-INDEX($F$53:$F$82,'Property Calculator'!$B$69))*12,0))-(D$34-F53))-D$37-'Property Calculator'!$B$101-IF(A53=1,'Property Calculator'!$B$58,0))*'Property Calculator'!$B$100),0))</f>
        <v>3332.7969343049435</v>
      </c>
      <c r="E53" s="107">
        <f>IF(A53&gt;'Property Calculator'!$B$70,0,IF(A53&lt;='Property Calculator'!$B$69,MAX(0,-FV(B$21/12,A53*12,-B$35/12,B$34)),MAX(0,-FV(B$29/12,(A53-'Property Calculator'!$B$69)*12,-PMT(B$29/12,('Property Calculator'!$B$70-'Property Calculator'!$B$69)*12,-INDEX($E$53:$E$82,'Property Calculator'!$B$69)),INDEX($E$53:$E$82,'Property Calculator'!$B$69)))))</f>
        <v>369563.18176434399</v>
      </c>
      <c r="F53" s="107">
        <f>IF(A53&gt;'Property Calculator'!$B$70,0,IF(A53&lt;='Property Calculator'!$B$69,MAX(0,-FV(D$21/12,A53*12,-D$35/12,D$34)),MAX(0,-FV(D$29/12,(A53-'Property Calculator'!$B$69)*12,-PMT(D$29/12,('Property Calculator'!$B$70-'Property Calculator'!$B$69)*12,-INDEX($F$53:$F$82,'Property Calculator'!$B$69)),INDEX($F$53:$F$82,'Property Calculator'!$B$69)))))</f>
        <v>274363.38949977723</v>
      </c>
    </row>
    <row r="54" spans="1:6" x14ac:dyDescent="0.25">
      <c r="A54">
        <v>2</v>
      </c>
      <c r="B54" s="107">
        <f>IF(A54&gt;'Property Calculator'!$B$11,0,IFERROR(B$32*(1-B$25)*(1+B$23)^(A54-1)-((('Property Calculator'!$B$93-'Property Calculator'!$B$87-'Property Calculator'!$B$92)*(1+B$11)+B$28+B$27)*(1+'Property Calculator'!$B$16)^(A54-1))-IF(A54&lt;='Property Calculator'!$B$69,B$35,IF(A54&lt;='Property Calculator'!$B$70,PMT(B$29/12,('Property Calculator'!$B$70-'Property Calculator'!$B$69)*12,-INDEX($E$53:$E$82,'Property Calculator'!$B$69))*12,0))-((B$32*(1-B$25)*(1+B$23)^(A54-1)-(((('Property Calculator'!$B$93-'Property Calculator'!$B$87-'Property Calculator'!$B$92)*(1+B$11)+B$28+B$27)*(1+'Property Calculator'!$B$16)^(A54-1))-B$28*(1+'Property Calculator'!$B$16)^(A54-1))-(IF(A54&lt;='Property Calculator'!$B$69,B$35,IF(A54&lt;='Property Calculator'!$B$70,PMT(B$29/12,('Property Calculator'!$B$70-'Property Calculator'!$B$69)*12,-INDEX($E$53:$E$82,'Property Calculator'!$B$69))*12,0))-(E53-E54))-B$37-'Property Calculator'!$B$101-IF(A54=1,'Property Calculator'!$B$58,0))*'Property Calculator'!$B$100),0))</f>
        <v>-8530.7681677060264</v>
      </c>
      <c r="C54" s="107">
        <f>IF(A54&gt;'Property Calculator'!$B$11,0,INDEX('Property Calculator'!$B$112:$AE$112,1,A54))</f>
        <v>-5167.6182257441687</v>
      </c>
      <c r="D54" s="107">
        <f>IF(A54&gt;'Property Calculator'!$B$11,0,IFERROR(D$32*(1-D$25)*(1+D$23)^(A54-1)-((('Property Calculator'!$B$93-'Property Calculator'!$B$87-'Property Calculator'!$B$92)*(1+D$11)+D$28+D$27)*(1+'Property Calculator'!$B$16)^(A54-1))-IF(A54&lt;='Property Calculator'!$B$69,D$35,IF(A54&lt;='Property Calculator'!$B$70,PMT(D$29/12,('Property Calculator'!$B$70-'Property Calculator'!$B$69)*12,-INDEX($F$53:$F$82,'Property Calculator'!$B$69))*12,0))-((D$32*(1-D$25)*(1+D$23)^(A54-1)-(((('Property Calculator'!$B$93-'Property Calculator'!$B$87-'Property Calculator'!$B$92)*(1+D$11)+D$28+D$27)*(1+'Property Calculator'!$B$16)^(A54-1))-D$28*(1+'Property Calculator'!$B$16)^(A54-1))-(IF(A54&lt;='Property Calculator'!$B$69,D$35,IF(A54&lt;='Property Calculator'!$B$70,PMT(D$29/12,('Property Calculator'!$B$70-'Property Calculator'!$B$69)*12,-INDEX($F$53:$F$82,'Property Calculator'!$B$69))*12,0))-(F53-F54))-D$37-'Property Calculator'!$B$101-IF(A54=1,'Property Calculator'!$B$58,0))*'Property Calculator'!$B$100),0))</f>
        <v>-2928.5851509483209</v>
      </c>
      <c r="E54" s="107">
        <f>IF(A54&gt;'Property Calculator'!$B$70,0,IF(A54&lt;='Property Calculator'!$B$69,MAX(0,-FV(B$21/12,A54*12,-B$35/12,B$34)),MAX(0,-FV(B$29/12,(A54-'Property Calculator'!$B$69)*12,-PMT(B$29/12,('Property Calculator'!$B$70-'Property Calculator'!$B$69)*12,-INDEX($E$53:$E$82,'Property Calculator'!$B$69)),INDEX($E$53:$E$82,'Property Calculator'!$B$69)))))</f>
        <v>363167.72174162843</v>
      </c>
      <c r="F54" s="107">
        <f>IF(A54&gt;'Property Calculator'!$B$70,0,IF(A54&lt;='Property Calculator'!$B$69,MAX(0,-FV(D$21/12,A54*12,-D$35/12,D$34)),MAX(0,-FV(D$29/12,(A54-'Property Calculator'!$B$69)*12,-PMT(D$29/12,('Property Calculator'!$B$70-'Property Calculator'!$B$69)*12,-INDEX($F$53:$F$82,'Property Calculator'!$B$69)),INDEX($F$53:$F$82,'Property Calculator'!$B$69)))))</f>
        <v>268267.49492990383</v>
      </c>
    </row>
    <row r="55" spans="1:6" x14ac:dyDescent="0.25">
      <c r="A55">
        <v>3</v>
      </c>
      <c r="B55" s="107">
        <f>IF(A55&gt;'Property Calculator'!$B$11,0,IFERROR(B$32*(1-B$25)*(1+B$23)^(A55-1)-((('Property Calculator'!$B$93-'Property Calculator'!$B$87-'Property Calculator'!$B$92)*(1+B$11)+B$28+B$27)*(1+'Property Calculator'!$B$16)^(A55-1))-IF(A55&lt;='Property Calculator'!$B$69,B$35,IF(A55&lt;='Property Calculator'!$B$70,PMT(B$29/12,('Property Calculator'!$B$70-'Property Calculator'!$B$69)*12,-INDEX($E$53:$E$82,'Property Calculator'!$B$69))*12,0))-((B$32*(1-B$25)*(1+B$23)^(A55-1)-(((('Property Calculator'!$B$93-'Property Calculator'!$B$87-'Property Calculator'!$B$92)*(1+B$11)+B$28+B$27)*(1+'Property Calculator'!$B$16)^(A55-1))-B$28*(1+'Property Calculator'!$B$16)^(A55-1))-(IF(A55&lt;='Property Calculator'!$B$69,B$35,IF(A55&lt;='Property Calculator'!$B$70,PMT(B$29/12,('Property Calculator'!$B$70-'Property Calculator'!$B$69)*12,-INDEX($E$53:$E$82,'Property Calculator'!$B$69))*12,0))-(E54-E55))-B$37-'Property Calculator'!$B$101-IF(A55=1,'Property Calculator'!$B$58,0))*'Property Calculator'!$B$100),0))</f>
        <v>-8603.1737825256823</v>
      </c>
      <c r="C55" s="107">
        <f>IF(A55&gt;'Property Calculator'!$B$11,0,INDEX('Property Calculator'!$B$112:$AE$112,1,A55))</f>
        <v>-8068.4924835606043</v>
      </c>
      <c r="D55" s="107">
        <f>IF(A55&gt;'Property Calculator'!$B$11,0,IFERROR(D$32*(1-D$25)*(1+D$23)^(A55-1)-((('Property Calculator'!$B$93-'Property Calculator'!$B$87-'Property Calculator'!$B$92)*(1+D$11)+D$28+D$27)*(1+'Property Calculator'!$B$16)^(A55-1))-IF(A55&lt;='Property Calculator'!$B$69,D$35,IF(A55&lt;='Property Calculator'!$B$70,PMT(D$29/12,('Property Calculator'!$B$70-'Property Calculator'!$B$69)*12,-INDEX($F$53:$F$82,'Property Calculator'!$B$69))*12,0))-((D$32*(1-D$25)*(1+D$23)^(A55-1)-(((('Property Calculator'!$B$93-'Property Calculator'!$B$87-'Property Calculator'!$B$92)*(1+D$11)+D$28+D$27)*(1+'Property Calculator'!$B$16)^(A55-1))-D$28*(1+'Property Calculator'!$B$16)^(A55-1))-(IF(A55&lt;='Property Calculator'!$B$69,D$35,IF(A55&lt;='Property Calculator'!$B$70,PMT(D$29/12,('Property Calculator'!$B$70-'Property Calculator'!$B$69)*12,-INDEX($F$53:$F$82,'Property Calculator'!$B$69))*12,0))-(F54-F55))-D$37-'Property Calculator'!$B$101-IF(A55=1,'Property Calculator'!$B$58,0))*'Property Calculator'!$B$100),0))</f>
        <v>-2890.0497461964887</v>
      </c>
      <c r="E55" s="107">
        <f>IF(A55&gt;'Property Calculator'!$B$70,0,IF(A55&lt;='Property Calculator'!$B$69,MAX(0,-FV(B$21/12,A55*12,-B$35/12,B$34)),MAX(0,-FV(B$29/12,(A55-'Property Calculator'!$B$69)*12,-PMT(B$29/12,('Property Calculator'!$B$70-'Property Calculator'!$B$69)*12,-INDEX($E$53:$E$82,'Property Calculator'!$B$69)),INDEX($E$53:$E$82,'Property Calculator'!$B$69)))))</f>
        <v>356510.04214351368</v>
      </c>
      <c r="F55" s="107">
        <f>IF(A55&gt;'Property Calculator'!$B$70,0,IF(A55&lt;='Property Calculator'!$B$69,MAX(0,-FV(D$21/12,A55*12,-D$35/12,D$34)),MAX(0,-FV(D$29/12,(A55-'Property Calculator'!$B$69)*12,-PMT(D$29/12,('Property Calculator'!$B$70-'Property Calculator'!$B$69)*12,-INDEX($F$53:$F$82,'Property Calculator'!$B$69)),INDEX($F$53:$F$82,'Property Calculator'!$B$69)))))</f>
        <v>261976.78298103955</v>
      </c>
    </row>
    <row r="56" spans="1:6" x14ac:dyDescent="0.25">
      <c r="A56">
        <v>4</v>
      </c>
      <c r="B56" s="107">
        <f>IF(A56&gt;'Property Calculator'!$B$11,0,IFERROR(B$32*(1-B$25)*(1+B$23)^(A56-1)-((('Property Calculator'!$B$93-'Property Calculator'!$B$87-'Property Calculator'!$B$92)*(1+B$11)+B$28+B$27)*(1+'Property Calculator'!$B$16)^(A56-1))-IF(A56&lt;='Property Calculator'!$B$69,B$35,IF(A56&lt;='Property Calculator'!$B$70,PMT(B$29/12,('Property Calculator'!$B$70-'Property Calculator'!$B$69)*12,-INDEX($E$53:$E$82,'Property Calculator'!$B$69))*12,0))-((B$32*(1-B$25)*(1+B$23)^(A56-1)-(((('Property Calculator'!$B$93-'Property Calculator'!$B$87-'Property Calculator'!$B$92)*(1+B$11)+B$28+B$27)*(1+'Property Calculator'!$B$16)^(A56-1))-B$28*(1+'Property Calculator'!$B$16)^(A56-1))-(IF(A56&lt;='Property Calculator'!$B$69,B$35,IF(A56&lt;='Property Calculator'!$B$70,PMT(B$29/12,('Property Calculator'!$B$70-'Property Calculator'!$B$69)*12,-INDEX($E$53:$E$82,'Property Calculator'!$B$69))*12,0))-(E55-E56))-B$37-'Property Calculator'!$B$101-IF(A56=1,'Property Calculator'!$B$58,0))*'Property Calculator'!$B$100),0))</f>
        <v>-8679.95118562262</v>
      </c>
      <c r="C56" s="107">
        <f>IF(A56&gt;'Property Calculator'!$B$11,0,INDEX('Property Calculator'!$B$112:$AE$112,1,A56))</f>
        <v>-5171.0833120510306</v>
      </c>
      <c r="D56" s="107">
        <f>IF(A56&gt;'Property Calculator'!$B$11,0,IFERROR(D$32*(1-D$25)*(1+D$23)^(A56-1)-((('Property Calculator'!$B$93-'Property Calculator'!$B$87-'Property Calculator'!$B$92)*(1+D$11)+D$28+D$27)*(1+'Property Calculator'!$B$16)^(A56-1))-IF(A56&lt;='Property Calculator'!$B$69,D$35,IF(A56&lt;='Property Calculator'!$B$70,PMT(D$29/12,('Property Calculator'!$B$70-'Property Calculator'!$B$69)*12,-INDEX($F$53:$F$82,'Property Calculator'!$B$69))*12,0))-((D$32*(1-D$25)*(1+D$23)^(A56-1)-(((('Property Calculator'!$B$93-'Property Calculator'!$B$87-'Property Calculator'!$B$92)*(1+D$11)+D$28+D$27)*(1+'Property Calculator'!$B$16)^(A56-1))-D$28*(1+'Property Calculator'!$B$16)^(A56-1))-(IF(A56&lt;='Property Calculator'!$B$69,D$35,IF(A56&lt;='Property Calculator'!$B$70,PMT(D$29/12,('Property Calculator'!$B$70-'Property Calculator'!$B$69)*12,-INDEX($F$53:$F$82,'Property Calculator'!$B$69))*12,0))-(F55-F56))-D$37-'Property Calculator'!$B$101-IF(A56=1,'Property Calculator'!$B$58,0))*'Property Calculator'!$B$100),0))</f>
        <v>-2851.6274640931392</v>
      </c>
      <c r="E56" s="107">
        <f>IF(A56&gt;'Property Calculator'!$B$70,0,IF(A56&lt;='Property Calculator'!$B$69,MAX(0,-FV(B$21/12,A56*12,-B$35/12,B$34)),MAX(0,-FV(B$29/12,(A56-'Property Calculator'!$B$69)*12,-PMT(B$29/12,('Property Calculator'!$B$70-'Property Calculator'!$B$69)*12,-INDEX($E$53:$E$82,'Property Calculator'!$B$69)),INDEX($E$53:$E$82,'Property Calculator'!$B$69)))))</f>
        <v>349579.39173311001</v>
      </c>
      <c r="F56" s="107">
        <f>IF(A56&gt;'Property Calculator'!$B$70,0,IF(A56&lt;='Property Calculator'!$B$69,MAX(0,-FV(D$21/12,A56*12,-D$35/12,D$34)),MAX(0,-FV(D$29/12,(A56-'Property Calculator'!$B$69)*12,-PMT(D$29/12,('Property Calculator'!$B$70-'Property Calculator'!$B$69)*12,-INDEX($F$53:$F$82,'Property Calculator'!$B$69)),INDEX($F$53:$F$82,'Property Calculator'!$B$69)))))</f>
        <v>255485.02752661321</v>
      </c>
    </row>
    <row r="57" spans="1:6" x14ac:dyDescent="0.25">
      <c r="A57">
        <v>5</v>
      </c>
      <c r="B57" s="107">
        <f>IF(A57&gt;'Property Calculator'!$B$11,0,IFERROR(B$32*(1-B$25)*(1+B$23)^(A57-1)-((('Property Calculator'!$B$93-'Property Calculator'!$B$87-'Property Calculator'!$B$92)*(1+B$11)+B$28+B$27)*(1+'Property Calculator'!$B$16)^(A57-1))-IF(A57&lt;='Property Calculator'!$B$69,B$35,IF(A57&lt;='Property Calculator'!$B$70,PMT(B$29/12,('Property Calculator'!$B$70-'Property Calculator'!$B$69)*12,-INDEX($E$53:$E$82,'Property Calculator'!$B$69))*12,0))-((B$32*(1-B$25)*(1+B$23)^(A57-1)-(((('Property Calculator'!$B$93-'Property Calculator'!$B$87-'Property Calculator'!$B$92)*(1+B$11)+B$28+B$27)*(1+'Property Calculator'!$B$16)^(A57-1))-B$28*(1+'Property Calculator'!$B$16)^(A57-1))-(IF(A57&lt;='Property Calculator'!$B$69,B$35,IF(A57&lt;='Property Calculator'!$B$70,PMT(B$29/12,('Property Calculator'!$B$70-'Property Calculator'!$B$69)*12,-INDEX($E$53:$E$82,'Property Calculator'!$B$69))*12,0))-(E56-E57))-B$37-'Property Calculator'!$B$101-IF(A57=1,'Property Calculator'!$B$58,0))*'Property Calculator'!$B$100),0))</f>
        <v>-8761.2955144274983</v>
      </c>
      <c r="C57" s="107">
        <f>IF(A57&gt;'Property Calculator'!$B$11,0,INDEX('Property Calculator'!$B$112:$AE$112,1,A57))</f>
        <v>-6425.4830710381102</v>
      </c>
      <c r="D57" s="107">
        <f>IF(A57&gt;'Property Calculator'!$B$11,0,IFERROR(D$32*(1-D$25)*(1+D$23)^(A57-1)-((('Property Calculator'!$B$93-'Property Calculator'!$B$87-'Property Calculator'!$B$92)*(1+D$11)+D$28+D$27)*(1+'Property Calculator'!$B$16)^(A57-1))-IF(A57&lt;='Property Calculator'!$B$69,D$35,IF(A57&lt;='Property Calculator'!$B$70,PMT(D$29/12,('Property Calculator'!$B$70-'Property Calculator'!$B$69)*12,-INDEX($F$53:$F$82,'Property Calculator'!$B$69))*12,0))-((D$32*(1-D$25)*(1+D$23)^(A57-1)-(((('Property Calculator'!$B$93-'Property Calculator'!$B$87-'Property Calculator'!$B$92)*(1+D$11)+D$28+D$27)*(1+'Property Calculator'!$B$16)^(A57-1))-D$28*(1+'Property Calculator'!$B$16)^(A57-1))-(IF(A57&lt;='Property Calculator'!$B$69,D$35,IF(A57&lt;='Property Calculator'!$B$70,PMT(D$29/12,('Property Calculator'!$B$70-'Property Calculator'!$B$69)*12,-INDEX($F$53:$F$82,'Property Calculator'!$B$69))*12,0))-(F56-F57))-D$37-'Property Calculator'!$B$101-IF(A57=1,'Property Calculator'!$B$58,0))*'Property Calculator'!$B$100),0))</f>
        <v>-2813.3504863142743</v>
      </c>
      <c r="E57" s="107">
        <f>IF(A57&gt;'Property Calculator'!$B$70,0,IF(A57&lt;='Property Calculator'!$B$69,MAX(0,-FV(B$21/12,A57*12,-B$35/12,B$34)),MAX(0,-FV(B$29/12,(A57-'Property Calculator'!$B$69)*12,-PMT(B$29/12,('Property Calculator'!$B$70-'Property Calculator'!$B$69)*12,-INDEX($E$53:$E$82,'Property Calculator'!$B$69)),INDEX($E$53:$E$82,'Property Calculator'!$B$69)))))</f>
        <v>342364.57846320898</v>
      </c>
      <c r="F57" s="107">
        <f>IF(A57&gt;'Property Calculator'!$B$70,0,IF(A57&lt;='Property Calculator'!$B$69,MAX(0,-FV(D$21/12,A57*12,-D$35/12,D$34)),MAX(0,-FV(D$29/12,(A57-'Property Calculator'!$B$69)*12,-PMT(D$29/12,('Property Calculator'!$B$70-'Property Calculator'!$B$69)*12,-INDEX($F$53:$F$82,'Property Calculator'!$B$69)),INDEX($F$53:$F$82,'Property Calculator'!$B$69)))))</f>
        <v>248785.80346061819</v>
      </c>
    </row>
    <row r="58" spans="1:6" x14ac:dyDescent="0.25">
      <c r="A58">
        <v>6</v>
      </c>
      <c r="B58" s="107">
        <f>IF(A58&gt;'Property Calculator'!$B$11,0,IFERROR(B$32*(1-B$25)*(1+B$23)^(A58-1)-((('Property Calculator'!$B$93-'Property Calculator'!$B$87-'Property Calculator'!$B$92)*(1+B$11)+B$28+B$27)*(1+'Property Calculator'!$B$16)^(A58-1))-IF(A58&lt;='Property Calculator'!$B$69,B$35,IF(A58&lt;='Property Calculator'!$B$70,PMT(B$29/12,('Property Calculator'!$B$70-'Property Calculator'!$B$69)*12,-INDEX($E$53:$E$82,'Property Calculator'!$B$69))*12,0))-((B$32*(1-B$25)*(1+B$23)^(A58-1)-(((('Property Calculator'!$B$93-'Property Calculator'!$B$87-'Property Calculator'!$B$92)*(1+B$11)+B$28+B$27)*(1+'Property Calculator'!$B$16)^(A58-1))-B$28*(1+'Property Calculator'!$B$16)^(A58-1))-(IF(A58&lt;='Property Calculator'!$B$69,B$35,IF(A58&lt;='Property Calculator'!$B$70,PMT(B$29/12,('Property Calculator'!$B$70-'Property Calculator'!$B$69)*12,-INDEX($E$53:$E$82,'Property Calculator'!$B$69))*12,0))-(E57-E58))-B$37-'Property Calculator'!$B$101-IF(A58=1,'Property Calculator'!$B$58,0))*'Property Calculator'!$B$100),0))</f>
        <v>-8847.4099782541452</v>
      </c>
      <c r="C58" s="107">
        <f>IF(A58&gt;'Property Calculator'!$B$11,0,INDEX('Property Calculator'!$B$112:$AE$112,1,A58))</f>
        <v>-5181.787971362528</v>
      </c>
      <c r="D58" s="107">
        <f>IF(A58&gt;'Property Calculator'!$B$11,0,IFERROR(D$32*(1-D$25)*(1+D$23)^(A58-1)-((('Property Calculator'!$B$93-'Property Calculator'!$B$87-'Property Calculator'!$B$92)*(1+D$11)+D$28+D$27)*(1+'Property Calculator'!$B$16)^(A58-1))-IF(A58&lt;='Property Calculator'!$B$69,D$35,IF(A58&lt;='Property Calculator'!$B$70,PMT(D$29/12,('Property Calculator'!$B$70-'Property Calculator'!$B$69)*12,-INDEX($F$53:$F$82,'Property Calculator'!$B$69))*12,0))-((D$32*(1-D$25)*(1+D$23)^(A58-1)-(((('Property Calculator'!$B$93-'Property Calculator'!$B$87-'Property Calculator'!$B$92)*(1+D$11)+D$28+D$27)*(1+'Property Calculator'!$B$16)^(A58-1))-D$28*(1+'Property Calculator'!$B$16)^(A58-1))-(IF(A58&lt;='Property Calculator'!$B$69,D$35,IF(A58&lt;='Property Calculator'!$B$70,PMT(D$29/12,('Property Calculator'!$B$70-'Property Calculator'!$B$69)*12,-INDEX($F$53:$F$82,'Property Calculator'!$B$69))*12,0))-(F57-F58))-D$37-'Property Calculator'!$B$101-IF(A58=1,'Property Calculator'!$B$58,0))*'Property Calculator'!$B$100),0))</f>
        <v>-2775.2526260775358</v>
      </c>
      <c r="E58" s="107">
        <f>IF(A58&gt;'Property Calculator'!$B$70,0,IF(A58&lt;='Property Calculator'!$B$69,MAX(0,-FV(B$21/12,A58*12,-B$35/12,B$34)),MAX(0,-FV(B$29/12,(A58-'Property Calculator'!$B$69)*12,-PMT(B$29/12,('Property Calculator'!$B$70-'Property Calculator'!$B$69)*12,-INDEX($E$53:$E$82,'Property Calculator'!$B$69)),INDEX($E$53:$E$82,'Property Calculator'!$B$69)))))</f>
        <v>334853.95140266605</v>
      </c>
      <c r="F58" s="107">
        <f>IF(A58&gt;'Property Calculator'!$B$70,0,IF(A58&lt;='Property Calculator'!$B$69,MAX(0,-FV(D$21/12,A58*12,-D$35/12,D$34)),MAX(0,-FV(D$29/12,(A58-'Property Calculator'!$B$69)*12,-PMT(D$29/12,('Property Calculator'!$B$70-'Property Calculator'!$B$69)*12,-INDEX($F$53:$F$82,'Property Calculator'!$B$69)),INDEX($F$53:$F$82,'Property Calculator'!$B$69)))))</f>
        <v>241872.48033847165</v>
      </c>
    </row>
    <row r="59" spans="1:6" x14ac:dyDescent="0.25">
      <c r="A59">
        <v>7</v>
      </c>
      <c r="B59" s="107">
        <f>IF(A59&gt;'Property Calculator'!$B$11,0,IFERROR(B$32*(1-B$25)*(1+B$23)^(A59-1)-((('Property Calculator'!$B$93-'Property Calculator'!$B$87-'Property Calculator'!$B$92)*(1+B$11)+B$28+B$27)*(1+'Property Calculator'!$B$16)^(A59-1))-IF(A59&lt;='Property Calculator'!$B$69,B$35,IF(A59&lt;='Property Calculator'!$B$70,PMT(B$29/12,('Property Calculator'!$B$70-'Property Calculator'!$B$69)*12,-INDEX($E$53:$E$82,'Property Calculator'!$B$69))*12,0))-((B$32*(1-B$25)*(1+B$23)^(A59-1)-(((('Property Calculator'!$B$93-'Property Calculator'!$B$87-'Property Calculator'!$B$92)*(1+B$11)+B$28+B$27)*(1+'Property Calculator'!$B$16)^(A59-1))-B$28*(1+'Property Calculator'!$B$16)^(A59-1))-(IF(A59&lt;='Property Calculator'!$B$69,B$35,IF(A59&lt;='Property Calculator'!$B$70,PMT(B$29/12,('Property Calculator'!$B$70-'Property Calculator'!$B$69)*12,-INDEX($E$53:$E$82,'Property Calculator'!$B$69))*12,0))-(E58-E59))-B$37-'Property Calculator'!$B$101-IF(A59=1,'Property Calculator'!$B$58,0))*'Property Calculator'!$B$100),0))</f>
        <v>-8938.5061854853484</v>
      </c>
      <c r="C59" s="107">
        <f>IF(A59&gt;'Property Calculator'!$B$11,0,INDEX('Property Calculator'!$B$112:$AE$112,1,A59))</f>
        <v>-5190.0982216713564</v>
      </c>
      <c r="D59" s="107">
        <f>IF(A59&gt;'Property Calculator'!$B$11,0,IFERROR(D$32*(1-D$25)*(1+D$23)^(A59-1)-((('Property Calculator'!$B$93-'Property Calculator'!$B$87-'Property Calculator'!$B$92)*(1+D$11)+D$28+D$27)*(1+'Property Calculator'!$B$16)^(A59-1))-IF(A59&lt;='Property Calculator'!$B$69,D$35,IF(A59&lt;='Property Calculator'!$B$70,PMT(D$29/12,('Property Calculator'!$B$70-'Property Calculator'!$B$69)*12,-INDEX($F$53:$F$82,'Property Calculator'!$B$69))*12,0))-((D$32*(1-D$25)*(1+D$23)^(A59-1)-(((('Property Calculator'!$B$93-'Property Calculator'!$B$87-'Property Calculator'!$B$92)*(1+D$11)+D$28+D$27)*(1+'Property Calculator'!$B$16)^(A59-1))-D$28*(1+'Property Calculator'!$B$16)^(A59-1))-(IF(A59&lt;='Property Calculator'!$B$69,D$35,IF(A59&lt;='Property Calculator'!$B$70,PMT(D$29/12,('Property Calculator'!$B$70-'Property Calculator'!$B$69)*12,-INDEX($F$53:$F$82,'Property Calculator'!$B$69))*12,0))-(F58-F59))-D$37-'Property Calculator'!$B$101-IF(A59=1,'Property Calculator'!$B$58,0))*'Property Calculator'!$B$100),0))</f>
        <v>-2737.3693929163828</v>
      </c>
      <c r="E59" s="107">
        <f>IF(A59&gt;'Property Calculator'!$B$70,0,IF(A59&lt;='Property Calculator'!$B$69,MAX(0,-FV(B$21/12,A59*12,-B$35/12,B$34)),MAX(0,-FV(B$29/12,(A59-'Property Calculator'!$B$69)*12,-PMT(B$29/12,('Property Calculator'!$B$70-'Property Calculator'!$B$69)*12,-INDEX($E$53:$E$82,'Property Calculator'!$B$69)),INDEX($E$53:$E$82,'Property Calculator'!$B$69)))))</f>
        <v>327035.38192174956</v>
      </c>
      <c r="F59" s="107">
        <f>IF(A59&gt;'Property Calculator'!$B$70,0,IF(A59&lt;='Property Calculator'!$B$69,MAX(0,-FV(D$21/12,A59*12,-D$35/12,D$34)),MAX(0,-FV(D$29/12,(A59-'Property Calculator'!$B$69)*12,-PMT(D$29/12,('Property Calculator'!$B$70-'Property Calculator'!$B$69)*12,-INDEX($F$53:$F$82,'Property Calculator'!$B$69)),INDEX($F$53:$F$82,'Property Calculator'!$B$69)))))</f>
        <v>234738.21581464313</v>
      </c>
    </row>
    <row r="60" spans="1:6" x14ac:dyDescent="0.25">
      <c r="A60">
        <v>8</v>
      </c>
      <c r="B60" s="107">
        <f>IF(A60&gt;'Property Calculator'!$B$11,0,IFERROR(B$32*(1-B$25)*(1+B$23)^(A60-1)-((('Property Calculator'!$B$93-'Property Calculator'!$B$87-'Property Calculator'!$B$92)*(1+B$11)+B$28+B$27)*(1+'Property Calculator'!$B$16)^(A60-1))-IF(A60&lt;='Property Calculator'!$B$69,B$35,IF(A60&lt;='Property Calculator'!$B$70,PMT(B$29/12,('Property Calculator'!$B$70-'Property Calculator'!$B$69)*12,-INDEX($E$53:$E$82,'Property Calculator'!$B$69))*12,0))-((B$32*(1-B$25)*(1+B$23)^(A60-1)-(((('Property Calculator'!$B$93-'Property Calculator'!$B$87-'Property Calculator'!$B$92)*(1+B$11)+B$28+B$27)*(1+'Property Calculator'!$B$16)^(A60-1))-B$28*(1+'Property Calculator'!$B$16)^(A60-1))-(IF(A60&lt;='Property Calculator'!$B$69,B$35,IF(A60&lt;='Property Calculator'!$B$70,PMT(B$29/12,('Property Calculator'!$B$70-'Property Calculator'!$B$69)*12,-INDEX($E$53:$E$82,'Property Calculator'!$B$69))*12,0))-(E59-E60))-B$37-'Property Calculator'!$B$101-IF(A60=1,'Property Calculator'!$B$58,0))*'Property Calculator'!$B$100),0))</f>
        <v>-9034.8044839857012</v>
      </c>
      <c r="C60" s="107">
        <f>IF(A60&gt;'Property Calculator'!$B$11,0,INDEX('Property Calculator'!$B$112:$AE$112,1,A60))</f>
        <v>-5200.5181805861175</v>
      </c>
      <c r="D60" s="107">
        <f>IF(A60&gt;'Property Calculator'!$B$11,0,IFERROR(D$32*(1-D$25)*(1+D$23)^(A60-1)-((('Property Calculator'!$B$93-'Property Calculator'!$B$87-'Property Calculator'!$B$92)*(1+D$11)+D$28+D$27)*(1+'Property Calculator'!$B$16)^(A60-1))-IF(A60&lt;='Property Calculator'!$B$69,D$35,IF(A60&lt;='Property Calculator'!$B$70,PMT(D$29/12,('Property Calculator'!$B$70-'Property Calculator'!$B$69)*12,-INDEX($F$53:$F$82,'Property Calculator'!$B$69))*12,0))-((D$32*(1-D$25)*(1+D$23)^(A60-1)-(((('Property Calculator'!$B$93-'Property Calculator'!$B$87-'Property Calculator'!$B$92)*(1+D$11)+D$28+D$27)*(1+'Property Calculator'!$B$16)^(A60-1))-D$28*(1+'Property Calculator'!$B$16)^(A60-1))-(IF(A60&lt;='Property Calculator'!$B$69,D$35,IF(A60&lt;='Property Calculator'!$B$70,PMT(D$29/12,('Property Calculator'!$B$70-'Property Calculator'!$B$69)*12,-INDEX($F$53:$F$82,'Property Calculator'!$B$69))*12,0))-(F59-F60))-D$37-'Property Calculator'!$B$101-IF(A60=1,'Property Calculator'!$B$58,0))*'Property Calculator'!$B$100),0))</f>
        <v>-2699.738059786182</v>
      </c>
      <c r="E60" s="107">
        <f>IF(A60&gt;'Property Calculator'!$B$70,0,IF(A60&lt;='Property Calculator'!$B$69,MAX(0,-FV(B$21/12,A60*12,-B$35/12,B$34)),MAX(0,-FV(B$29/12,(A60-'Property Calculator'!$B$69)*12,-PMT(B$29/12,('Property Calculator'!$B$70-'Property Calculator'!$B$69)*12,-INDEX($E$53:$E$82,'Property Calculator'!$B$69)),INDEX($E$53:$E$82,'Property Calculator'!$B$69)))))</f>
        <v>318896.24410607177</v>
      </c>
      <c r="F60" s="107">
        <f>IF(A60&gt;'Property Calculator'!$B$70,0,IF(A60&lt;='Property Calculator'!$B$69,MAX(0,-FV(D$21/12,A60*12,-D$35/12,D$34)),MAX(0,-FV(D$29/12,(A60-'Property Calculator'!$B$69)*12,-PMT(D$29/12,('Property Calculator'!$B$70-'Property Calculator'!$B$69)*12,-INDEX($F$53:$F$82,'Property Calculator'!$B$69)),INDEX($F$53:$F$82,'Property Calculator'!$B$69)))))</f>
        <v>227375.94887055818</v>
      </c>
    </row>
    <row r="61" spans="1:6" x14ac:dyDescent="0.25">
      <c r="A61">
        <v>9</v>
      </c>
      <c r="B61" s="107">
        <f>IF(A61&gt;'Property Calculator'!$B$11,0,IFERROR(B$32*(1-B$25)*(1+B$23)^(A61-1)-((('Property Calculator'!$B$93-'Property Calculator'!$B$87-'Property Calculator'!$B$92)*(1+B$11)+B$28+B$27)*(1+'Property Calculator'!$B$16)^(A61-1))-IF(A61&lt;='Property Calculator'!$B$69,B$35,IF(A61&lt;='Property Calculator'!$B$70,PMT(B$29/12,('Property Calculator'!$B$70-'Property Calculator'!$B$69)*12,-INDEX($E$53:$E$82,'Property Calculator'!$B$69))*12,0))-((B$32*(1-B$25)*(1+B$23)^(A61-1)-(((('Property Calculator'!$B$93-'Property Calculator'!$B$87-'Property Calculator'!$B$92)*(1+B$11)+B$28+B$27)*(1+'Property Calculator'!$B$16)^(A61-1))-B$28*(1+'Property Calculator'!$B$16)^(A61-1))-(IF(A61&lt;='Property Calculator'!$B$69,B$35,IF(A61&lt;='Property Calculator'!$B$70,PMT(B$29/12,('Property Calculator'!$B$70-'Property Calculator'!$B$69)*12,-INDEX($E$53:$E$82,'Property Calculator'!$B$69))*12,0))-(E60-E61))-B$37-'Property Calculator'!$B$101-IF(A61=1,'Property Calculator'!$B$58,0))*'Property Calculator'!$B$100),0))</f>
        <v>-9136.5343152767582</v>
      </c>
      <c r="C61" s="107">
        <f>IF(A61&gt;'Property Calculator'!$B$11,0,INDEX('Property Calculator'!$B$112:$AE$112,1,A61))</f>
        <v>-5213.1565144440528</v>
      </c>
      <c r="D61" s="107">
        <f>IF(A61&gt;'Property Calculator'!$B$11,0,IFERROR(D$32*(1-D$25)*(1+D$23)^(A61-1)-((('Property Calculator'!$B$93-'Property Calculator'!$B$87-'Property Calculator'!$B$92)*(1+D$11)+D$28+D$27)*(1+'Property Calculator'!$B$16)^(A61-1))-IF(A61&lt;='Property Calculator'!$B$69,D$35,IF(A61&lt;='Property Calculator'!$B$70,PMT(D$29/12,('Property Calculator'!$B$70-'Property Calculator'!$B$69)*12,-INDEX($F$53:$F$82,'Property Calculator'!$B$69))*12,0))-((D$32*(1-D$25)*(1+D$23)^(A61-1)-(((('Property Calculator'!$B$93-'Property Calculator'!$B$87-'Property Calculator'!$B$92)*(1+D$11)+D$28+D$27)*(1+'Property Calculator'!$B$16)^(A61-1))-D$28*(1+'Property Calculator'!$B$16)^(A61-1))-(IF(A61&lt;='Property Calculator'!$B$69,D$35,IF(A61&lt;='Property Calculator'!$B$70,PMT(D$29/12,('Property Calculator'!$B$70-'Property Calculator'!$B$69)*12,-INDEX($F$53:$F$82,'Property Calculator'!$B$69))*12,0))-(F60-F61))-D$37-'Property Calculator'!$B$101-IF(A61=1,'Property Calculator'!$B$58,0))*'Property Calculator'!$B$100),0))</f>
        <v>-2662.3977325826736</v>
      </c>
      <c r="E61" s="107">
        <f>IF(A61&gt;'Property Calculator'!$B$70,0,IF(A61&lt;='Property Calculator'!$B$69,MAX(0,-FV(B$21/12,A61*12,-B$35/12,B$34)),MAX(0,-FV(B$29/12,(A61-'Property Calculator'!$B$69)*12,-PMT(B$29/12,('Property Calculator'!$B$70-'Property Calculator'!$B$69)*12,-INDEX($E$53:$E$82,'Property Calculator'!$B$69)),INDEX($E$53:$E$82,'Property Calculator'!$B$69)))))</f>
        <v>310423.39436747326</v>
      </c>
      <c r="F61" s="107">
        <f>IF(A61&gt;'Property Calculator'!$B$70,0,IF(A61&lt;='Property Calculator'!$B$69,MAX(0,-FV(D$21/12,A61*12,-D$35/12,D$34)),MAX(0,-FV(D$29/12,(A61-'Property Calculator'!$B$69)*12,-PMT(D$29/12,('Property Calculator'!$B$70-'Property Calculator'!$B$69)*12,-INDEX($F$53:$F$82,'Property Calculator'!$B$69)),INDEX($F$53:$F$82,'Property Calculator'!$B$69)))))</f>
        <v>219778.39282607345</v>
      </c>
    </row>
    <row r="62" spans="1:6" x14ac:dyDescent="0.25">
      <c r="A62">
        <v>10</v>
      </c>
      <c r="B62" s="107">
        <f>IF(A62&gt;'Property Calculator'!$B$11,0,IFERROR(B$32*(1-B$25)*(1+B$23)^(A62-1)-((('Property Calculator'!$B$93-'Property Calculator'!$B$87-'Property Calculator'!$B$92)*(1+B$11)+B$28+B$27)*(1+'Property Calculator'!$B$16)^(A62-1))-IF(A62&lt;='Property Calculator'!$B$69,B$35,IF(A62&lt;='Property Calculator'!$B$70,PMT(B$29/12,('Property Calculator'!$B$70-'Property Calculator'!$B$69)*12,-INDEX($E$53:$E$82,'Property Calculator'!$B$69))*12,0))-((B$32*(1-B$25)*(1+B$23)^(A62-1)-(((('Property Calculator'!$B$93-'Property Calculator'!$B$87-'Property Calculator'!$B$92)*(1+B$11)+B$28+B$27)*(1+'Property Calculator'!$B$16)^(A62-1))-B$28*(1+'Property Calculator'!$B$16)^(A62-1))-(IF(A62&lt;='Property Calculator'!$B$69,B$35,IF(A62&lt;='Property Calculator'!$B$70,PMT(B$29/12,('Property Calculator'!$B$70-'Property Calculator'!$B$69)*12,-INDEX($E$53:$E$82,'Property Calculator'!$B$69))*12,0))-(E61-E62))-B$37-'Property Calculator'!$B$101-IF(A62=1,'Property Calculator'!$B$58,0))*'Property Calculator'!$B$100),0))</f>
        <v>-9243.934583032009</v>
      </c>
      <c r="C62" s="107">
        <f>IF(A62&gt;'Property Calculator'!$B$11,0,INDEX('Property Calculator'!$B$112:$AE$112,1,A62))</f>
        <v>-5228.1263608131194</v>
      </c>
      <c r="D62" s="107">
        <f>IF(A62&gt;'Property Calculator'!$B$11,0,IFERROR(D$32*(1-D$25)*(1+D$23)^(A62-1)-((('Property Calculator'!$B$93-'Property Calculator'!$B$87-'Property Calculator'!$B$92)*(1+D$11)+D$28+D$27)*(1+'Property Calculator'!$B$16)^(A62-1))-IF(A62&lt;='Property Calculator'!$B$69,D$35,IF(A62&lt;='Property Calculator'!$B$70,PMT(D$29/12,('Property Calculator'!$B$70-'Property Calculator'!$B$69)*12,-INDEX($F$53:$F$82,'Property Calculator'!$B$69))*12,0))-((D$32*(1-D$25)*(1+D$23)^(A62-1)-(((('Property Calculator'!$B$93-'Property Calculator'!$B$87-'Property Calculator'!$B$92)*(1+D$11)+D$28+D$27)*(1+'Property Calculator'!$B$16)^(A62-1))-D$28*(1+'Property Calculator'!$B$16)^(A62-1))-(IF(A62&lt;='Property Calculator'!$B$69,D$35,IF(A62&lt;='Property Calculator'!$B$70,PMT(D$29/12,('Property Calculator'!$B$70-'Property Calculator'!$B$69)*12,-INDEX($F$53:$F$82,'Property Calculator'!$B$69))*12,0))-(F61-F62))-D$37-'Property Calculator'!$B$101-IF(A62=1,'Property Calculator'!$B$58,0))*'Property Calculator'!$B$100),0))</f>
        <v>-2625.3894221547084</v>
      </c>
      <c r="E62" s="107">
        <f>IF(A62&gt;'Property Calculator'!$B$70,0,IF(A62&lt;='Property Calculator'!$B$69,MAX(0,-FV(B$21/12,A62*12,-B$35/12,B$34)),MAX(0,-FV(B$29/12,(A62-'Property Calculator'!$B$69)*12,-PMT(B$29/12,('Property Calculator'!$B$70-'Property Calculator'!$B$69)*12,-INDEX($E$53:$E$82,'Property Calculator'!$B$69)),INDEX($E$53:$E$82,'Property Calculator'!$B$69)))))</f>
        <v>301603.15021893627</v>
      </c>
      <c r="F62" s="107">
        <f>IF(A62&gt;'Property Calculator'!$B$70,0,IF(A62&lt;='Property Calculator'!$B$69,MAX(0,-FV(D$21/12,A62*12,-D$35/12,D$34)),MAX(0,-FV(D$29/12,(A62-'Property Calculator'!$B$69)*12,-PMT(D$29/12,('Property Calculator'!$B$70-'Property Calculator'!$B$69)*12,-INDEX($F$53:$F$82,'Property Calculator'!$B$69)),INDEX($F$53:$F$82,'Property Calculator'!$B$69)))))</f>
        <v>211938.02812760751</v>
      </c>
    </row>
    <row r="63" spans="1:6" x14ac:dyDescent="0.25">
      <c r="A63">
        <v>11</v>
      </c>
      <c r="B63" s="107">
        <f>IF(A63&gt;'Property Calculator'!$B$11,0,IFERROR(B$32*(1-B$25)*(1+B$23)^(A63-1)-((('Property Calculator'!$B$93-'Property Calculator'!$B$87-'Property Calculator'!$B$92)*(1+B$11)+B$28+B$27)*(1+'Property Calculator'!$B$16)^(A63-1))-IF(A63&lt;='Property Calculator'!$B$69,B$35,IF(A63&lt;='Property Calculator'!$B$70,PMT(B$29/12,('Property Calculator'!$B$70-'Property Calculator'!$B$69)*12,-INDEX($E$53:$E$82,'Property Calculator'!$B$69))*12,0))-((B$32*(1-B$25)*(1+B$23)^(A63-1)-(((('Property Calculator'!$B$93-'Property Calculator'!$B$87-'Property Calculator'!$B$92)*(1+B$11)+B$28+B$27)*(1+'Property Calculator'!$B$16)^(A63-1))-B$28*(1+'Property Calculator'!$B$16)^(A63-1))-(IF(A63&lt;='Property Calculator'!$B$69,B$35,IF(A63&lt;='Property Calculator'!$B$70,PMT(B$29/12,('Property Calculator'!$B$70-'Property Calculator'!$B$69)*12,-INDEX($E$53:$E$82,'Property Calculator'!$B$69))*12,0))-(E62-E63))-B$37-'Property Calculator'!$B$101-IF(A63=1,'Property Calculator'!$B$58,0))*'Property Calculator'!$B$100),0))</f>
        <v>0</v>
      </c>
      <c r="C63" s="107">
        <f>IF(A63&gt;'Property Calculator'!$B$11,0,INDEX('Property Calculator'!$B$112:$AE$112,1,A63))</f>
        <v>0</v>
      </c>
      <c r="D63" s="107">
        <f>IF(A63&gt;'Property Calculator'!$B$11,0,IFERROR(D$32*(1-D$25)*(1+D$23)^(A63-1)-((('Property Calculator'!$B$93-'Property Calculator'!$B$87-'Property Calculator'!$B$92)*(1+D$11)+D$28+D$27)*(1+'Property Calculator'!$B$16)^(A63-1))-IF(A63&lt;='Property Calculator'!$B$69,D$35,IF(A63&lt;='Property Calculator'!$B$70,PMT(D$29/12,('Property Calculator'!$B$70-'Property Calculator'!$B$69)*12,-INDEX($F$53:$F$82,'Property Calculator'!$B$69))*12,0))-((D$32*(1-D$25)*(1+D$23)^(A63-1)-(((('Property Calculator'!$B$93-'Property Calculator'!$B$87-'Property Calculator'!$B$92)*(1+D$11)+D$28+D$27)*(1+'Property Calculator'!$B$16)^(A63-1))-D$28*(1+'Property Calculator'!$B$16)^(A63-1))-(IF(A63&lt;='Property Calculator'!$B$69,D$35,IF(A63&lt;='Property Calculator'!$B$70,PMT(D$29/12,('Property Calculator'!$B$70-'Property Calculator'!$B$69)*12,-INDEX($F$53:$F$82,'Property Calculator'!$B$69))*12,0))-(F62-F63))-D$37-'Property Calculator'!$B$101-IF(A63=1,'Property Calculator'!$B$58,0))*'Property Calculator'!$B$100),0))</f>
        <v>0</v>
      </c>
      <c r="E63" s="107">
        <f>IF(A63&gt;'Property Calculator'!$B$70,0,IF(A63&lt;='Property Calculator'!$B$69,MAX(0,-FV(B$21/12,A63*12,-B$35/12,B$34)),MAX(0,-FV(B$29/12,(A63-'Property Calculator'!$B$69)*12,-PMT(B$29/12,('Property Calculator'!$B$70-'Property Calculator'!$B$69)*12,-INDEX($E$53:$E$82,'Property Calculator'!$B$69)),INDEX($E$53:$E$82,'Property Calculator'!$B$69)))))</f>
        <v>293550.95286941738</v>
      </c>
      <c r="F63" s="107">
        <f>IF(A63&gt;'Property Calculator'!$B$70,0,IF(A63&lt;='Property Calculator'!$B$69,MAX(0,-FV(D$21/12,A63*12,-D$35/12,D$34)),MAX(0,-FV(D$29/12,(A63-'Property Calculator'!$B$69)*12,-PMT(D$29/12,('Property Calculator'!$B$70-'Property Calculator'!$B$69)*12,-INDEX($F$53:$F$82,'Property Calculator'!$B$69)),INDEX($F$53:$F$82,'Property Calculator'!$B$69)))))</f>
        <v>203665.32597029756</v>
      </c>
    </row>
    <row r="64" spans="1:6" x14ac:dyDescent="0.25">
      <c r="A64">
        <v>12</v>
      </c>
      <c r="B64" s="107">
        <f>IF(A64&gt;'Property Calculator'!$B$11,0,IFERROR(B$32*(1-B$25)*(1+B$23)^(A64-1)-((('Property Calculator'!$B$93-'Property Calculator'!$B$87-'Property Calculator'!$B$92)*(1+B$11)+B$28+B$27)*(1+'Property Calculator'!$B$16)^(A64-1))-IF(A64&lt;='Property Calculator'!$B$69,B$35,IF(A64&lt;='Property Calculator'!$B$70,PMT(B$29/12,('Property Calculator'!$B$70-'Property Calculator'!$B$69)*12,-INDEX($E$53:$E$82,'Property Calculator'!$B$69))*12,0))-((B$32*(1-B$25)*(1+B$23)^(A64-1)-(((('Property Calculator'!$B$93-'Property Calculator'!$B$87-'Property Calculator'!$B$92)*(1+B$11)+B$28+B$27)*(1+'Property Calculator'!$B$16)^(A64-1))-B$28*(1+'Property Calculator'!$B$16)^(A64-1))-(IF(A64&lt;='Property Calculator'!$B$69,B$35,IF(A64&lt;='Property Calculator'!$B$70,PMT(B$29/12,('Property Calculator'!$B$70-'Property Calculator'!$B$69)*12,-INDEX($E$53:$E$82,'Property Calculator'!$B$69))*12,0))-(E63-E64))-B$37-'Property Calculator'!$B$101-IF(A64=1,'Property Calculator'!$B$58,0))*'Property Calculator'!$B$100),0))</f>
        <v>0</v>
      </c>
      <c r="C64" s="107">
        <f>IF(A64&gt;'Property Calculator'!$B$11,0,INDEX('Property Calculator'!$B$112:$AE$112,1,A64))</f>
        <v>0</v>
      </c>
      <c r="D64" s="107">
        <f>IF(A64&gt;'Property Calculator'!$B$11,0,IFERROR(D$32*(1-D$25)*(1+D$23)^(A64-1)-((('Property Calculator'!$B$93-'Property Calculator'!$B$87-'Property Calculator'!$B$92)*(1+D$11)+D$28+D$27)*(1+'Property Calculator'!$B$16)^(A64-1))-IF(A64&lt;='Property Calculator'!$B$69,D$35,IF(A64&lt;='Property Calculator'!$B$70,PMT(D$29/12,('Property Calculator'!$B$70-'Property Calculator'!$B$69)*12,-INDEX($F$53:$F$82,'Property Calculator'!$B$69))*12,0))-((D$32*(1-D$25)*(1+D$23)^(A64-1)-(((('Property Calculator'!$B$93-'Property Calculator'!$B$87-'Property Calculator'!$B$92)*(1+D$11)+D$28+D$27)*(1+'Property Calculator'!$B$16)^(A64-1))-D$28*(1+'Property Calculator'!$B$16)^(A64-1))-(IF(A64&lt;='Property Calculator'!$B$69,D$35,IF(A64&lt;='Property Calculator'!$B$70,PMT(D$29/12,('Property Calculator'!$B$70-'Property Calculator'!$B$69)*12,-INDEX($F$53:$F$82,'Property Calculator'!$B$69))*12,0))-(F63-F64))-D$37-'Property Calculator'!$B$101-IF(A64=1,'Property Calculator'!$B$58,0))*'Property Calculator'!$B$100),0))</f>
        <v>0</v>
      </c>
      <c r="E64" s="107">
        <f>IF(A64&gt;'Property Calculator'!$B$70,0,IF(A64&lt;='Property Calculator'!$B$69,MAX(0,-FV(B$21/12,A64*12,-B$35/12,B$34)),MAX(0,-FV(B$29/12,(A64-'Property Calculator'!$B$69)*12,-PMT(B$29/12,('Property Calculator'!$B$70-'Property Calculator'!$B$69)*12,-INDEX($E$53:$E$82,'Property Calculator'!$B$69)),INDEX($E$53:$E$82,'Property Calculator'!$B$69)))))</f>
        <v>285002.11360667902</v>
      </c>
      <c r="F64" s="107">
        <f>IF(A64&gt;'Property Calculator'!$B$70,0,IF(A64&lt;='Property Calculator'!$B$69,MAX(0,-FV(D$21/12,A64*12,-D$35/12,D$34)),MAX(0,-FV(D$29/12,(A64-'Property Calculator'!$B$69)*12,-PMT(D$29/12,('Property Calculator'!$B$70-'Property Calculator'!$B$69)*12,-INDEX($F$53:$F$82,'Property Calculator'!$B$69)),INDEX($F$53:$F$82,'Property Calculator'!$B$69)))))</f>
        <v>195183.41994034688</v>
      </c>
    </row>
    <row r="65" spans="1:6" x14ac:dyDescent="0.25">
      <c r="A65">
        <v>13</v>
      </c>
      <c r="B65" s="107">
        <f>IF(A65&gt;'Property Calculator'!$B$11,0,IFERROR(B$32*(1-B$25)*(1+B$23)^(A65-1)-((('Property Calculator'!$B$93-'Property Calculator'!$B$87-'Property Calculator'!$B$92)*(1+B$11)+B$28+B$27)*(1+'Property Calculator'!$B$16)^(A65-1))-IF(A65&lt;='Property Calculator'!$B$69,B$35,IF(A65&lt;='Property Calculator'!$B$70,PMT(B$29/12,('Property Calculator'!$B$70-'Property Calculator'!$B$69)*12,-INDEX($E$53:$E$82,'Property Calculator'!$B$69))*12,0))-((B$32*(1-B$25)*(1+B$23)^(A65-1)-(((('Property Calculator'!$B$93-'Property Calculator'!$B$87-'Property Calculator'!$B$92)*(1+B$11)+B$28+B$27)*(1+'Property Calculator'!$B$16)^(A65-1))-B$28*(1+'Property Calculator'!$B$16)^(A65-1))-(IF(A65&lt;='Property Calculator'!$B$69,B$35,IF(A65&lt;='Property Calculator'!$B$70,PMT(B$29/12,('Property Calculator'!$B$70-'Property Calculator'!$B$69)*12,-INDEX($E$53:$E$82,'Property Calculator'!$B$69))*12,0))-(E64-E65))-B$37-'Property Calculator'!$B$101-IF(A65=1,'Property Calculator'!$B$58,0))*'Property Calculator'!$B$100),0))</f>
        <v>0</v>
      </c>
      <c r="C65" s="107">
        <f>IF(A65&gt;'Property Calculator'!$B$11,0,INDEX('Property Calculator'!$B$112:$AE$112,1,A65))</f>
        <v>0</v>
      </c>
      <c r="D65" s="107">
        <f>IF(A65&gt;'Property Calculator'!$B$11,0,IFERROR(D$32*(1-D$25)*(1+D$23)^(A65-1)-((('Property Calculator'!$B$93-'Property Calculator'!$B$87-'Property Calculator'!$B$92)*(1+D$11)+D$28+D$27)*(1+'Property Calculator'!$B$16)^(A65-1))-IF(A65&lt;='Property Calculator'!$B$69,D$35,IF(A65&lt;='Property Calculator'!$B$70,PMT(D$29/12,('Property Calculator'!$B$70-'Property Calculator'!$B$69)*12,-INDEX($F$53:$F$82,'Property Calculator'!$B$69))*12,0))-((D$32*(1-D$25)*(1+D$23)^(A65-1)-(((('Property Calculator'!$B$93-'Property Calculator'!$B$87-'Property Calculator'!$B$92)*(1+D$11)+D$28+D$27)*(1+'Property Calculator'!$B$16)^(A65-1))-D$28*(1+'Property Calculator'!$B$16)^(A65-1))-(IF(A65&lt;='Property Calculator'!$B$69,D$35,IF(A65&lt;='Property Calculator'!$B$70,PMT(D$29/12,('Property Calculator'!$B$70-'Property Calculator'!$B$69)*12,-INDEX($F$53:$F$82,'Property Calculator'!$B$69))*12,0))-(F64-F65))-D$37-'Property Calculator'!$B$101-IF(A65=1,'Property Calculator'!$B$58,0))*'Property Calculator'!$B$100),0))</f>
        <v>0</v>
      </c>
      <c r="E65" s="107">
        <f>IF(A65&gt;'Property Calculator'!$B$70,0,IF(A65&lt;='Property Calculator'!$B$69,MAX(0,-FV(B$21/12,A65*12,-B$35/12,B$34)),MAX(0,-FV(B$29/12,(A65-'Property Calculator'!$B$69)*12,-PMT(B$29/12,('Property Calculator'!$B$70-'Property Calculator'!$B$69)*12,-INDEX($E$53:$E$82,'Property Calculator'!$B$69)),INDEX($E$53:$E$82,'Property Calculator'!$B$69)))))</f>
        <v>275926.00064423383</v>
      </c>
      <c r="F65" s="107">
        <f>IF(A65&gt;'Property Calculator'!$B$70,0,IF(A65&lt;='Property Calculator'!$B$69,MAX(0,-FV(D$21/12,A65*12,-D$35/12,D$34)),MAX(0,-FV(D$29/12,(A65-'Property Calculator'!$B$69)*12,-PMT(D$29/12,('Property Calculator'!$B$70-'Property Calculator'!$B$69)*12,-INDEX($F$53:$F$82,'Property Calculator'!$B$69)),INDEX($F$53:$F$82,'Property Calculator'!$B$69)))))</f>
        <v>186487.01959462147</v>
      </c>
    </row>
    <row r="66" spans="1:6" x14ac:dyDescent="0.25">
      <c r="A66">
        <v>14</v>
      </c>
      <c r="B66" s="107">
        <f>IF(A66&gt;'Property Calculator'!$B$11,0,IFERROR(B$32*(1-B$25)*(1+B$23)^(A66-1)-((('Property Calculator'!$B$93-'Property Calculator'!$B$87-'Property Calculator'!$B$92)*(1+B$11)+B$28+B$27)*(1+'Property Calculator'!$B$16)^(A66-1))-IF(A66&lt;='Property Calculator'!$B$69,B$35,IF(A66&lt;='Property Calculator'!$B$70,PMT(B$29/12,('Property Calculator'!$B$70-'Property Calculator'!$B$69)*12,-INDEX($E$53:$E$82,'Property Calculator'!$B$69))*12,0))-((B$32*(1-B$25)*(1+B$23)^(A66-1)-(((('Property Calculator'!$B$93-'Property Calculator'!$B$87-'Property Calculator'!$B$92)*(1+B$11)+B$28+B$27)*(1+'Property Calculator'!$B$16)^(A66-1))-B$28*(1+'Property Calculator'!$B$16)^(A66-1))-(IF(A66&lt;='Property Calculator'!$B$69,B$35,IF(A66&lt;='Property Calculator'!$B$70,PMT(B$29/12,('Property Calculator'!$B$70-'Property Calculator'!$B$69)*12,-INDEX($E$53:$E$82,'Property Calculator'!$B$69))*12,0))-(E65-E66))-B$37-'Property Calculator'!$B$101-IF(A66=1,'Property Calculator'!$B$58,0))*'Property Calculator'!$B$100),0))</f>
        <v>0</v>
      </c>
      <c r="C66" s="107">
        <f>IF(A66&gt;'Property Calculator'!$B$11,0,INDEX('Property Calculator'!$B$112:$AE$112,1,A66))</f>
        <v>0</v>
      </c>
      <c r="D66" s="107">
        <f>IF(A66&gt;'Property Calculator'!$B$11,0,IFERROR(D$32*(1-D$25)*(1+D$23)^(A66-1)-((('Property Calculator'!$B$93-'Property Calculator'!$B$87-'Property Calculator'!$B$92)*(1+D$11)+D$28+D$27)*(1+'Property Calculator'!$B$16)^(A66-1))-IF(A66&lt;='Property Calculator'!$B$69,D$35,IF(A66&lt;='Property Calculator'!$B$70,PMT(D$29/12,('Property Calculator'!$B$70-'Property Calculator'!$B$69)*12,-INDEX($F$53:$F$82,'Property Calculator'!$B$69))*12,0))-((D$32*(1-D$25)*(1+D$23)^(A66-1)-(((('Property Calculator'!$B$93-'Property Calculator'!$B$87-'Property Calculator'!$B$92)*(1+D$11)+D$28+D$27)*(1+'Property Calculator'!$B$16)^(A66-1))-D$28*(1+'Property Calculator'!$B$16)^(A66-1))-(IF(A66&lt;='Property Calculator'!$B$69,D$35,IF(A66&lt;='Property Calculator'!$B$70,PMT(D$29/12,('Property Calculator'!$B$70-'Property Calculator'!$B$69)*12,-INDEX($F$53:$F$82,'Property Calculator'!$B$69))*12,0))-(F65-F66))-D$37-'Property Calculator'!$B$101-IF(A66=1,'Property Calculator'!$B$58,0))*'Property Calculator'!$B$100),0))</f>
        <v>0</v>
      </c>
      <c r="E66" s="107">
        <f>IF(A66&gt;'Property Calculator'!$B$70,0,IF(A66&lt;='Property Calculator'!$B$69,MAX(0,-FV(B$21/12,A66*12,-B$35/12,B$34)),MAX(0,-FV(B$29/12,(A66-'Property Calculator'!$B$69)*12,-PMT(B$29/12,('Property Calculator'!$B$70-'Property Calculator'!$B$69)*12,-INDEX($E$53:$E$82,'Property Calculator'!$B$69)),INDEX($E$53:$E$82,'Property Calculator'!$B$69)))))</f>
        <v>266290.09289402986</v>
      </c>
      <c r="F66" s="107">
        <f>IF(A66&gt;'Property Calculator'!$B$70,0,IF(A66&lt;='Property Calculator'!$B$69,MAX(0,-FV(D$21/12,A66*12,-D$35/12,D$34)),MAX(0,-FV(D$29/12,(A66-'Property Calculator'!$B$69)*12,-PMT(D$29/12,('Property Calculator'!$B$70-'Property Calculator'!$B$69)*12,-INDEX($F$53:$F$82,'Property Calculator'!$B$69)),INDEX($F$53:$F$82,'Property Calculator'!$B$69)))))</f>
        <v>177570.70070284378</v>
      </c>
    </row>
    <row r="67" spans="1:6" x14ac:dyDescent="0.25">
      <c r="A67">
        <v>15</v>
      </c>
      <c r="B67" s="107">
        <f>IF(A67&gt;'Property Calculator'!$B$11,0,IFERROR(B$32*(1-B$25)*(1+B$23)^(A67-1)-((('Property Calculator'!$B$93-'Property Calculator'!$B$87-'Property Calculator'!$B$92)*(1+B$11)+B$28+B$27)*(1+'Property Calculator'!$B$16)^(A67-1))-IF(A67&lt;='Property Calculator'!$B$69,B$35,IF(A67&lt;='Property Calculator'!$B$70,PMT(B$29/12,('Property Calculator'!$B$70-'Property Calculator'!$B$69)*12,-INDEX($E$53:$E$82,'Property Calculator'!$B$69))*12,0))-((B$32*(1-B$25)*(1+B$23)^(A67-1)-(((('Property Calculator'!$B$93-'Property Calculator'!$B$87-'Property Calculator'!$B$92)*(1+B$11)+B$28+B$27)*(1+'Property Calculator'!$B$16)^(A67-1))-B$28*(1+'Property Calculator'!$B$16)^(A67-1))-(IF(A67&lt;='Property Calculator'!$B$69,B$35,IF(A67&lt;='Property Calculator'!$B$70,PMT(B$29/12,('Property Calculator'!$B$70-'Property Calculator'!$B$69)*12,-INDEX($E$53:$E$82,'Property Calculator'!$B$69))*12,0))-(E66-E67))-B$37-'Property Calculator'!$B$101-IF(A67=1,'Property Calculator'!$B$58,0))*'Property Calculator'!$B$100),0))</f>
        <v>0</v>
      </c>
      <c r="C67" s="107">
        <f>IF(A67&gt;'Property Calculator'!$B$11,0,INDEX('Property Calculator'!$B$112:$AE$112,1,A67))</f>
        <v>0</v>
      </c>
      <c r="D67" s="107">
        <f>IF(A67&gt;'Property Calculator'!$B$11,0,IFERROR(D$32*(1-D$25)*(1+D$23)^(A67-1)-((('Property Calculator'!$B$93-'Property Calculator'!$B$87-'Property Calculator'!$B$92)*(1+D$11)+D$28+D$27)*(1+'Property Calculator'!$B$16)^(A67-1))-IF(A67&lt;='Property Calculator'!$B$69,D$35,IF(A67&lt;='Property Calculator'!$B$70,PMT(D$29/12,('Property Calculator'!$B$70-'Property Calculator'!$B$69)*12,-INDEX($F$53:$F$82,'Property Calculator'!$B$69))*12,0))-((D$32*(1-D$25)*(1+D$23)^(A67-1)-(((('Property Calculator'!$B$93-'Property Calculator'!$B$87-'Property Calculator'!$B$92)*(1+D$11)+D$28+D$27)*(1+'Property Calculator'!$B$16)^(A67-1))-D$28*(1+'Property Calculator'!$B$16)^(A67-1))-(IF(A67&lt;='Property Calculator'!$B$69,D$35,IF(A67&lt;='Property Calculator'!$B$70,PMT(D$29/12,('Property Calculator'!$B$70-'Property Calculator'!$B$69)*12,-INDEX($F$53:$F$82,'Property Calculator'!$B$69))*12,0))-(F66-F67))-D$37-'Property Calculator'!$B$101-IF(A67=1,'Property Calculator'!$B$58,0))*'Property Calculator'!$B$100),0))</f>
        <v>0</v>
      </c>
      <c r="E67" s="107">
        <f>IF(A67&gt;'Property Calculator'!$B$70,0,IF(A67&lt;='Property Calculator'!$B$69,MAX(0,-FV(B$21/12,A67*12,-B$35/12,B$34)),MAX(0,-FV(B$29/12,(A67-'Property Calculator'!$B$69)*12,-PMT(B$29/12,('Property Calculator'!$B$70-'Property Calculator'!$B$69)*12,-INDEX($E$53:$E$82,'Property Calculator'!$B$69)),INDEX($E$53:$E$82,'Property Calculator'!$B$69)))))</f>
        <v>256059.8634384652</v>
      </c>
      <c r="F67" s="107">
        <f>IF(A67&gt;'Property Calculator'!$B$70,0,IF(A67&lt;='Property Calculator'!$B$69,MAX(0,-FV(D$21/12,A67*12,-D$35/12,D$34)),MAX(0,-FV(D$29/12,(A67-'Property Calculator'!$B$69)*12,-PMT(D$29/12,('Property Calculator'!$B$70-'Property Calculator'!$B$69)*12,-INDEX($F$53:$F$82,'Property Calculator'!$B$69)),INDEX($F$53:$F$82,'Property Calculator'!$B$69)))))</f>
        <v>168428.90186432202</v>
      </c>
    </row>
    <row r="68" spans="1:6" x14ac:dyDescent="0.25">
      <c r="A68">
        <v>16</v>
      </c>
      <c r="B68" s="107">
        <f>IF(A68&gt;'Property Calculator'!$B$11,0,IFERROR(B$32*(1-B$25)*(1+B$23)^(A68-1)-((('Property Calculator'!$B$93-'Property Calculator'!$B$87-'Property Calculator'!$B$92)*(1+B$11)+B$28+B$27)*(1+'Property Calculator'!$B$16)^(A68-1))-IF(A68&lt;='Property Calculator'!$B$69,B$35,IF(A68&lt;='Property Calculator'!$B$70,PMT(B$29/12,('Property Calculator'!$B$70-'Property Calculator'!$B$69)*12,-INDEX($E$53:$E$82,'Property Calculator'!$B$69))*12,0))-((B$32*(1-B$25)*(1+B$23)^(A68-1)-(((('Property Calculator'!$B$93-'Property Calculator'!$B$87-'Property Calculator'!$B$92)*(1+B$11)+B$28+B$27)*(1+'Property Calculator'!$B$16)^(A68-1))-B$28*(1+'Property Calculator'!$B$16)^(A68-1))-(IF(A68&lt;='Property Calculator'!$B$69,B$35,IF(A68&lt;='Property Calculator'!$B$70,PMT(B$29/12,('Property Calculator'!$B$70-'Property Calculator'!$B$69)*12,-INDEX($E$53:$E$82,'Property Calculator'!$B$69))*12,0))-(E67-E68))-B$37-'Property Calculator'!$B$101-IF(A68=1,'Property Calculator'!$B$58,0))*'Property Calculator'!$B$100),0))</f>
        <v>0</v>
      </c>
      <c r="C68" s="107">
        <f>IF(A68&gt;'Property Calculator'!$B$11,0,INDEX('Property Calculator'!$B$112:$AE$112,1,A68))</f>
        <v>0</v>
      </c>
      <c r="D68" s="107">
        <f>IF(A68&gt;'Property Calculator'!$B$11,0,IFERROR(D$32*(1-D$25)*(1+D$23)^(A68-1)-((('Property Calculator'!$B$93-'Property Calculator'!$B$87-'Property Calculator'!$B$92)*(1+D$11)+D$28+D$27)*(1+'Property Calculator'!$B$16)^(A68-1))-IF(A68&lt;='Property Calculator'!$B$69,D$35,IF(A68&lt;='Property Calculator'!$B$70,PMT(D$29/12,('Property Calculator'!$B$70-'Property Calculator'!$B$69)*12,-INDEX($F$53:$F$82,'Property Calculator'!$B$69))*12,0))-((D$32*(1-D$25)*(1+D$23)^(A68-1)-(((('Property Calculator'!$B$93-'Property Calculator'!$B$87-'Property Calculator'!$B$92)*(1+D$11)+D$28+D$27)*(1+'Property Calculator'!$B$16)^(A68-1))-D$28*(1+'Property Calculator'!$B$16)^(A68-1))-(IF(A68&lt;='Property Calculator'!$B$69,D$35,IF(A68&lt;='Property Calculator'!$B$70,PMT(D$29/12,('Property Calculator'!$B$70-'Property Calculator'!$B$69)*12,-INDEX($F$53:$F$82,'Property Calculator'!$B$69))*12,0))-(F67-F68))-D$37-'Property Calculator'!$B$101-IF(A68=1,'Property Calculator'!$B$58,0))*'Property Calculator'!$B$100),0))</f>
        <v>0</v>
      </c>
      <c r="E68" s="107">
        <f>IF(A68&gt;'Property Calculator'!$B$70,0,IF(A68&lt;='Property Calculator'!$B$69,MAX(0,-FV(B$21/12,A68*12,-B$35/12,B$34)),MAX(0,-FV(B$29/12,(A68-'Property Calculator'!$B$69)*12,-PMT(B$29/12,('Property Calculator'!$B$70-'Property Calculator'!$B$69)*12,-INDEX($E$53:$E$82,'Property Calculator'!$B$69)),INDEX($E$53:$E$82,'Property Calculator'!$B$69)))))</f>
        <v>245198.65581520958</v>
      </c>
      <c r="F68" s="107">
        <f>IF(A68&gt;'Property Calculator'!$B$70,0,IF(A68&lt;='Property Calculator'!$B$69,MAX(0,-FV(D$21/12,A68*12,-D$35/12,D$34)),MAX(0,-FV(D$29/12,(A68-'Property Calculator'!$B$69)*12,-PMT(D$29/12,('Property Calculator'!$B$70-'Property Calculator'!$B$69)*12,-INDEX($F$53:$F$82,'Property Calculator'!$B$69)),INDEX($F$53:$F$82,'Property Calculator'!$B$69)))))</f>
        <v>159055.92103912236</v>
      </c>
    </row>
    <row r="69" spans="1:6" x14ac:dyDescent="0.25">
      <c r="A69">
        <v>17</v>
      </c>
      <c r="B69" s="107">
        <f>IF(A69&gt;'Property Calculator'!$B$11,0,IFERROR(B$32*(1-B$25)*(1+B$23)^(A69-1)-((('Property Calculator'!$B$93-'Property Calculator'!$B$87-'Property Calculator'!$B$92)*(1+B$11)+B$28+B$27)*(1+'Property Calculator'!$B$16)^(A69-1))-IF(A69&lt;='Property Calculator'!$B$69,B$35,IF(A69&lt;='Property Calculator'!$B$70,PMT(B$29/12,('Property Calculator'!$B$70-'Property Calculator'!$B$69)*12,-INDEX($E$53:$E$82,'Property Calculator'!$B$69))*12,0))-((B$32*(1-B$25)*(1+B$23)^(A69-1)-(((('Property Calculator'!$B$93-'Property Calculator'!$B$87-'Property Calculator'!$B$92)*(1+B$11)+B$28+B$27)*(1+'Property Calculator'!$B$16)^(A69-1))-B$28*(1+'Property Calculator'!$B$16)^(A69-1))-(IF(A69&lt;='Property Calculator'!$B$69,B$35,IF(A69&lt;='Property Calculator'!$B$70,PMT(B$29/12,('Property Calculator'!$B$70-'Property Calculator'!$B$69)*12,-INDEX($E$53:$E$82,'Property Calculator'!$B$69))*12,0))-(E68-E69))-B$37-'Property Calculator'!$B$101-IF(A69=1,'Property Calculator'!$B$58,0))*'Property Calculator'!$B$100),0))</f>
        <v>0</v>
      </c>
      <c r="C69" s="107">
        <f>IF(A69&gt;'Property Calculator'!$B$11,0,INDEX('Property Calculator'!$B$112:$AE$112,1,A69))</f>
        <v>0</v>
      </c>
      <c r="D69" s="107">
        <f>IF(A69&gt;'Property Calculator'!$B$11,0,IFERROR(D$32*(1-D$25)*(1+D$23)^(A69-1)-((('Property Calculator'!$B$93-'Property Calculator'!$B$87-'Property Calculator'!$B$92)*(1+D$11)+D$28+D$27)*(1+'Property Calculator'!$B$16)^(A69-1))-IF(A69&lt;='Property Calculator'!$B$69,D$35,IF(A69&lt;='Property Calculator'!$B$70,PMT(D$29/12,('Property Calculator'!$B$70-'Property Calculator'!$B$69)*12,-INDEX($F$53:$F$82,'Property Calculator'!$B$69))*12,0))-((D$32*(1-D$25)*(1+D$23)^(A69-1)-(((('Property Calculator'!$B$93-'Property Calculator'!$B$87-'Property Calculator'!$B$92)*(1+D$11)+D$28+D$27)*(1+'Property Calculator'!$B$16)^(A69-1))-D$28*(1+'Property Calculator'!$B$16)^(A69-1))-(IF(A69&lt;='Property Calculator'!$B$69,D$35,IF(A69&lt;='Property Calculator'!$B$70,PMT(D$29/12,('Property Calculator'!$B$70-'Property Calculator'!$B$69)*12,-INDEX($F$53:$F$82,'Property Calculator'!$B$69))*12,0))-(F68-F69))-D$37-'Property Calculator'!$B$101-IF(A69=1,'Property Calculator'!$B$58,0))*'Property Calculator'!$B$100),0))</f>
        <v>0</v>
      </c>
      <c r="E69" s="107">
        <f>IF(A69&gt;'Property Calculator'!$B$70,0,IF(A69&lt;='Property Calculator'!$B$69,MAX(0,-FV(B$21/12,A69*12,-B$35/12,B$34)),MAX(0,-FV(B$29/12,(A69-'Property Calculator'!$B$69)*12,-PMT(B$29/12,('Property Calculator'!$B$70-'Property Calculator'!$B$69)*12,-INDEX($E$53:$E$82,'Property Calculator'!$B$69)),INDEX($E$53:$E$82,'Property Calculator'!$B$69)))))</f>
        <v>233667.55267154548</v>
      </c>
      <c r="F69" s="107">
        <f>IF(A69&gt;'Property Calculator'!$B$70,0,IF(A69&lt;='Property Calculator'!$B$69,MAX(0,-FV(D$21/12,A69*12,-D$35/12,D$34)),MAX(0,-FV(D$29/12,(A69-'Property Calculator'!$B$69)*12,-PMT(D$29/12,('Property Calculator'!$B$70-'Property Calculator'!$B$69)*12,-INDEX($F$53:$F$82,'Property Calculator'!$B$69)),INDEX($F$53:$F$82,'Property Calculator'!$B$69)))))</f>
        <v>149445.91199151956</v>
      </c>
    </row>
    <row r="70" spans="1:6" x14ac:dyDescent="0.25">
      <c r="A70">
        <v>18</v>
      </c>
      <c r="B70" s="107">
        <f>IF(A70&gt;'Property Calculator'!$B$11,0,IFERROR(B$32*(1-B$25)*(1+B$23)^(A70-1)-((('Property Calculator'!$B$93-'Property Calculator'!$B$87-'Property Calculator'!$B$92)*(1+B$11)+B$28+B$27)*(1+'Property Calculator'!$B$16)^(A70-1))-IF(A70&lt;='Property Calculator'!$B$69,B$35,IF(A70&lt;='Property Calculator'!$B$70,PMT(B$29/12,('Property Calculator'!$B$70-'Property Calculator'!$B$69)*12,-INDEX($E$53:$E$82,'Property Calculator'!$B$69))*12,0))-((B$32*(1-B$25)*(1+B$23)^(A70-1)-(((('Property Calculator'!$B$93-'Property Calculator'!$B$87-'Property Calculator'!$B$92)*(1+B$11)+B$28+B$27)*(1+'Property Calculator'!$B$16)^(A70-1))-B$28*(1+'Property Calculator'!$B$16)^(A70-1))-(IF(A70&lt;='Property Calculator'!$B$69,B$35,IF(A70&lt;='Property Calculator'!$B$70,PMT(B$29/12,('Property Calculator'!$B$70-'Property Calculator'!$B$69)*12,-INDEX($E$53:$E$82,'Property Calculator'!$B$69))*12,0))-(E69-E70))-B$37-'Property Calculator'!$B$101-IF(A70=1,'Property Calculator'!$B$58,0))*'Property Calculator'!$B$100),0))</f>
        <v>0</v>
      </c>
      <c r="C70" s="107">
        <f>IF(A70&gt;'Property Calculator'!$B$11,0,INDEX('Property Calculator'!$B$112:$AE$112,1,A70))</f>
        <v>0</v>
      </c>
      <c r="D70" s="107">
        <f>IF(A70&gt;'Property Calculator'!$B$11,0,IFERROR(D$32*(1-D$25)*(1+D$23)^(A70-1)-((('Property Calculator'!$B$93-'Property Calculator'!$B$87-'Property Calculator'!$B$92)*(1+D$11)+D$28+D$27)*(1+'Property Calculator'!$B$16)^(A70-1))-IF(A70&lt;='Property Calculator'!$B$69,D$35,IF(A70&lt;='Property Calculator'!$B$70,PMT(D$29/12,('Property Calculator'!$B$70-'Property Calculator'!$B$69)*12,-INDEX($F$53:$F$82,'Property Calculator'!$B$69))*12,0))-((D$32*(1-D$25)*(1+D$23)^(A70-1)-(((('Property Calculator'!$B$93-'Property Calculator'!$B$87-'Property Calculator'!$B$92)*(1+D$11)+D$28+D$27)*(1+'Property Calculator'!$B$16)^(A70-1))-D$28*(1+'Property Calculator'!$B$16)^(A70-1))-(IF(A70&lt;='Property Calculator'!$B$69,D$35,IF(A70&lt;='Property Calculator'!$B$70,PMT(D$29/12,('Property Calculator'!$B$70-'Property Calculator'!$B$69)*12,-INDEX($F$53:$F$82,'Property Calculator'!$B$69))*12,0))-(F69-F70))-D$37-'Property Calculator'!$B$101-IF(A70=1,'Property Calculator'!$B$58,0))*'Property Calculator'!$B$100),0))</f>
        <v>0</v>
      </c>
      <c r="E70" s="107">
        <f>IF(A70&gt;'Property Calculator'!$B$70,0,IF(A70&lt;='Property Calculator'!$B$69,MAX(0,-FV(B$21/12,A70*12,-B$35/12,B$34)),MAX(0,-FV(B$29/12,(A70-'Property Calculator'!$B$69)*12,-PMT(B$29/12,('Property Calculator'!$B$70-'Property Calculator'!$B$69)*12,-INDEX($E$53:$E$82,'Property Calculator'!$B$69)),INDEX($E$53:$E$82,'Property Calculator'!$B$69)))))</f>
        <v>221425.23631759646</v>
      </c>
      <c r="F70" s="107">
        <f>IF(A70&gt;'Property Calculator'!$B$70,0,IF(A70&lt;='Property Calculator'!$B$69,MAX(0,-FV(D$21/12,A70*12,-D$35/12,D$34)),MAX(0,-FV(D$29/12,(A70-'Property Calculator'!$B$69)*12,-PMT(D$29/12,('Property Calculator'!$B$70-'Property Calculator'!$B$69)*12,-INDEX($F$53:$F$82,'Property Calculator'!$B$69)),INDEX($F$53:$F$82,'Property Calculator'!$B$69)))))</f>
        <v>139592.88064350729</v>
      </c>
    </row>
    <row r="71" spans="1:6" x14ac:dyDescent="0.25">
      <c r="A71">
        <v>19</v>
      </c>
      <c r="B71" s="107">
        <f>IF(A71&gt;'Property Calculator'!$B$11,0,IFERROR(B$32*(1-B$25)*(1+B$23)^(A71-1)-((('Property Calculator'!$B$93-'Property Calculator'!$B$87-'Property Calculator'!$B$92)*(1+B$11)+B$28+B$27)*(1+'Property Calculator'!$B$16)^(A71-1))-IF(A71&lt;='Property Calculator'!$B$69,B$35,IF(A71&lt;='Property Calculator'!$B$70,PMT(B$29/12,('Property Calculator'!$B$70-'Property Calculator'!$B$69)*12,-INDEX($E$53:$E$82,'Property Calculator'!$B$69))*12,0))-((B$32*(1-B$25)*(1+B$23)^(A71-1)-(((('Property Calculator'!$B$93-'Property Calculator'!$B$87-'Property Calculator'!$B$92)*(1+B$11)+B$28+B$27)*(1+'Property Calculator'!$B$16)^(A71-1))-B$28*(1+'Property Calculator'!$B$16)^(A71-1))-(IF(A71&lt;='Property Calculator'!$B$69,B$35,IF(A71&lt;='Property Calculator'!$B$70,PMT(B$29/12,('Property Calculator'!$B$70-'Property Calculator'!$B$69)*12,-INDEX($E$53:$E$82,'Property Calculator'!$B$69))*12,0))-(E70-E71))-B$37-'Property Calculator'!$B$101-IF(A71=1,'Property Calculator'!$B$58,0))*'Property Calculator'!$B$100),0))</f>
        <v>0</v>
      </c>
      <c r="C71" s="107">
        <f>IF(A71&gt;'Property Calculator'!$B$11,0,INDEX('Property Calculator'!$B$112:$AE$112,1,A71))</f>
        <v>0</v>
      </c>
      <c r="D71" s="107">
        <f>IF(A71&gt;'Property Calculator'!$B$11,0,IFERROR(D$32*(1-D$25)*(1+D$23)^(A71-1)-((('Property Calculator'!$B$93-'Property Calculator'!$B$87-'Property Calculator'!$B$92)*(1+D$11)+D$28+D$27)*(1+'Property Calculator'!$B$16)^(A71-1))-IF(A71&lt;='Property Calculator'!$B$69,D$35,IF(A71&lt;='Property Calculator'!$B$70,PMT(D$29/12,('Property Calculator'!$B$70-'Property Calculator'!$B$69)*12,-INDEX($F$53:$F$82,'Property Calculator'!$B$69))*12,0))-((D$32*(1-D$25)*(1+D$23)^(A71-1)-(((('Property Calculator'!$B$93-'Property Calculator'!$B$87-'Property Calculator'!$B$92)*(1+D$11)+D$28+D$27)*(1+'Property Calculator'!$B$16)^(A71-1))-D$28*(1+'Property Calculator'!$B$16)^(A71-1))-(IF(A71&lt;='Property Calculator'!$B$69,D$35,IF(A71&lt;='Property Calculator'!$B$70,PMT(D$29/12,('Property Calculator'!$B$70-'Property Calculator'!$B$69)*12,-INDEX($F$53:$F$82,'Property Calculator'!$B$69))*12,0))-(F70-F71))-D$37-'Property Calculator'!$B$101-IF(A71=1,'Property Calculator'!$B$58,0))*'Property Calculator'!$B$100),0))</f>
        <v>0</v>
      </c>
      <c r="E71" s="107">
        <f>IF(A71&gt;'Property Calculator'!$B$70,0,IF(A71&lt;='Property Calculator'!$B$69,MAX(0,-FV(B$21/12,A71*12,-B$35/12,B$34)),MAX(0,-FV(B$29/12,(A71-'Property Calculator'!$B$69)*12,-PMT(B$29/12,('Property Calculator'!$B$70-'Property Calculator'!$B$69)*12,-INDEX($E$53:$E$82,'Property Calculator'!$B$69)),INDEX($E$53:$E$82,'Property Calculator'!$B$69)))))</f>
        <v>208427.8406787829</v>
      </c>
      <c r="F71" s="107">
        <f>IF(A71&gt;'Property Calculator'!$B$70,0,IF(A71&lt;='Property Calculator'!$B$69,MAX(0,-FV(D$21/12,A71*12,-D$35/12,D$34)),MAX(0,-FV(D$29/12,(A71-'Property Calculator'!$B$69)*12,-PMT(D$29/12,('Property Calculator'!$B$70-'Property Calculator'!$B$69)*12,-INDEX($F$53:$F$82,'Property Calculator'!$B$69)),INDEX($F$53:$F$82,'Property Calculator'!$B$69)))))</f>
        <v>129490.68133609591</v>
      </c>
    </row>
    <row r="72" spans="1:6" x14ac:dyDescent="0.25">
      <c r="A72">
        <v>20</v>
      </c>
      <c r="B72" s="107">
        <f>IF(A72&gt;'Property Calculator'!$B$11,0,IFERROR(B$32*(1-B$25)*(1+B$23)^(A72-1)-((('Property Calculator'!$B$93-'Property Calculator'!$B$87-'Property Calculator'!$B$92)*(1+B$11)+B$28+B$27)*(1+'Property Calculator'!$B$16)^(A72-1))-IF(A72&lt;='Property Calculator'!$B$69,B$35,IF(A72&lt;='Property Calculator'!$B$70,PMT(B$29/12,('Property Calculator'!$B$70-'Property Calculator'!$B$69)*12,-INDEX($E$53:$E$82,'Property Calculator'!$B$69))*12,0))-((B$32*(1-B$25)*(1+B$23)^(A72-1)-(((('Property Calculator'!$B$93-'Property Calculator'!$B$87-'Property Calculator'!$B$92)*(1+B$11)+B$28+B$27)*(1+'Property Calculator'!$B$16)^(A72-1))-B$28*(1+'Property Calculator'!$B$16)^(A72-1))-(IF(A72&lt;='Property Calculator'!$B$69,B$35,IF(A72&lt;='Property Calculator'!$B$70,PMT(B$29/12,('Property Calculator'!$B$70-'Property Calculator'!$B$69)*12,-INDEX($E$53:$E$82,'Property Calculator'!$B$69))*12,0))-(E71-E72))-B$37-'Property Calculator'!$B$101-IF(A72=1,'Property Calculator'!$B$58,0))*'Property Calculator'!$B$100),0))</f>
        <v>0</v>
      </c>
      <c r="C72" s="107">
        <f>IF(A72&gt;'Property Calculator'!$B$11,0,INDEX('Property Calculator'!$B$112:$AE$112,1,A72))</f>
        <v>0</v>
      </c>
      <c r="D72" s="107">
        <f>IF(A72&gt;'Property Calculator'!$B$11,0,IFERROR(D$32*(1-D$25)*(1+D$23)^(A72-1)-((('Property Calculator'!$B$93-'Property Calculator'!$B$87-'Property Calculator'!$B$92)*(1+D$11)+D$28+D$27)*(1+'Property Calculator'!$B$16)^(A72-1))-IF(A72&lt;='Property Calculator'!$B$69,D$35,IF(A72&lt;='Property Calculator'!$B$70,PMT(D$29/12,('Property Calculator'!$B$70-'Property Calculator'!$B$69)*12,-INDEX($F$53:$F$82,'Property Calculator'!$B$69))*12,0))-((D$32*(1-D$25)*(1+D$23)^(A72-1)-(((('Property Calculator'!$B$93-'Property Calculator'!$B$87-'Property Calculator'!$B$92)*(1+D$11)+D$28+D$27)*(1+'Property Calculator'!$B$16)^(A72-1))-D$28*(1+'Property Calculator'!$B$16)^(A72-1))-(IF(A72&lt;='Property Calculator'!$B$69,D$35,IF(A72&lt;='Property Calculator'!$B$70,PMT(D$29/12,('Property Calculator'!$B$70-'Property Calculator'!$B$69)*12,-INDEX($F$53:$F$82,'Property Calculator'!$B$69))*12,0))-(F71-F72))-D$37-'Property Calculator'!$B$101-IF(A72=1,'Property Calculator'!$B$58,0))*'Property Calculator'!$B$100),0))</f>
        <v>0</v>
      </c>
      <c r="E72" s="107">
        <f>IF(A72&gt;'Property Calculator'!$B$70,0,IF(A72&lt;='Property Calculator'!$B$69,MAX(0,-FV(B$21/12,A72*12,-B$35/12,B$34)),MAX(0,-FV(B$29/12,(A72-'Property Calculator'!$B$69)*12,-PMT(B$29/12,('Property Calculator'!$B$70-'Property Calculator'!$B$69)*12,-INDEX($E$53:$E$82,'Property Calculator'!$B$69)),INDEX($E$53:$E$82,'Property Calculator'!$B$69)))))</f>
        <v>194628.79411703011</v>
      </c>
      <c r="F72" s="107">
        <f>IF(A72&gt;'Property Calculator'!$B$70,0,IF(A72&lt;='Property Calculator'!$B$69,MAX(0,-FV(D$21/12,A72*12,-D$35/12,D$34)),MAX(0,-FV(D$29/12,(A72-'Property Calculator'!$B$69)*12,-PMT(D$29/12,('Property Calculator'!$B$70-'Property Calculator'!$B$69)*12,-INDEX($F$53:$F$82,'Property Calculator'!$B$69)),INDEX($F$53:$F$82,'Property Calculator'!$B$69)))))</f>
        <v>119133.01299606237</v>
      </c>
    </row>
    <row r="73" spans="1:6" x14ac:dyDescent="0.25">
      <c r="A73">
        <v>21</v>
      </c>
      <c r="B73" s="107">
        <f>IF(A73&gt;'Property Calculator'!$B$11,0,IFERROR(B$32*(1-B$25)*(1+B$23)^(A73-1)-((('Property Calculator'!$B$93-'Property Calculator'!$B$87-'Property Calculator'!$B$92)*(1+B$11)+B$28+B$27)*(1+'Property Calculator'!$B$16)^(A73-1))-IF(A73&lt;='Property Calculator'!$B$69,B$35,IF(A73&lt;='Property Calculator'!$B$70,PMT(B$29/12,('Property Calculator'!$B$70-'Property Calculator'!$B$69)*12,-INDEX($E$53:$E$82,'Property Calculator'!$B$69))*12,0))-((B$32*(1-B$25)*(1+B$23)^(A73-1)-(((('Property Calculator'!$B$93-'Property Calculator'!$B$87-'Property Calculator'!$B$92)*(1+B$11)+B$28+B$27)*(1+'Property Calculator'!$B$16)^(A73-1))-B$28*(1+'Property Calculator'!$B$16)^(A73-1))-(IF(A73&lt;='Property Calculator'!$B$69,B$35,IF(A73&lt;='Property Calculator'!$B$70,PMT(B$29/12,('Property Calculator'!$B$70-'Property Calculator'!$B$69)*12,-INDEX($E$53:$E$82,'Property Calculator'!$B$69))*12,0))-(E72-E73))-B$37-'Property Calculator'!$B$101-IF(A73=1,'Property Calculator'!$B$58,0))*'Property Calculator'!$B$100),0))</f>
        <v>0</v>
      </c>
      <c r="C73" s="107">
        <f>IF(A73&gt;'Property Calculator'!$B$11,0,INDEX('Property Calculator'!$B$112:$AE$112,1,A73))</f>
        <v>0</v>
      </c>
      <c r="D73" s="107">
        <f>IF(A73&gt;'Property Calculator'!$B$11,0,IFERROR(D$32*(1-D$25)*(1+D$23)^(A73-1)-((('Property Calculator'!$B$93-'Property Calculator'!$B$87-'Property Calculator'!$B$92)*(1+D$11)+D$28+D$27)*(1+'Property Calculator'!$B$16)^(A73-1))-IF(A73&lt;='Property Calculator'!$B$69,D$35,IF(A73&lt;='Property Calculator'!$B$70,PMT(D$29/12,('Property Calculator'!$B$70-'Property Calculator'!$B$69)*12,-INDEX($F$53:$F$82,'Property Calculator'!$B$69))*12,0))-((D$32*(1-D$25)*(1+D$23)^(A73-1)-(((('Property Calculator'!$B$93-'Property Calculator'!$B$87-'Property Calculator'!$B$92)*(1+D$11)+D$28+D$27)*(1+'Property Calculator'!$B$16)^(A73-1))-D$28*(1+'Property Calculator'!$B$16)^(A73-1))-(IF(A73&lt;='Property Calculator'!$B$69,D$35,IF(A73&lt;='Property Calculator'!$B$70,PMT(D$29/12,('Property Calculator'!$B$70-'Property Calculator'!$B$69)*12,-INDEX($F$53:$F$82,'Property Calculator'!$B$69))*12,0))-(F72-F73))-D$37-'Property Calculator'!$B$101-IF(A73=1,'Property Calculator'!$B$58,0))*'Property Calculator'!$B$100),0))</f>
        <v>0</v>
      </c>
      <c r="E73" s="107">
        <f>IF(A73&gt;'Property Calculator'!$B$70,0,IF(A73&lt;='Property Calculator'!$B$69,MAX(0,-FV(B$21/12,A73*12,-B$35/12,B$34)),MAX(0,-FV(B$29/12,(A73-'Property Calculator'!$B$69)*12,-PMT(B$29/12,('Property Calculator'!$B$70-'Property Calculator'!$B$69)*12,-INDEX($E$53:$E$82,'Property Calculator'!$B$69)),INDEX($E$53:$E$82,'Property Calculator'!$B$69)))))</f>
        <v>179978.65255753201</v>
      </c>
      <c r="F73" s="107">
        <f>IF(A73&gt;'Property Calculator'!$B$70,0,IF(A73&lt;='Property Calculator'!$B$69,MAX(0,-FV(D$21/12,A73*12,-D$35/12,D$34)),MAX(0,-FV(D$29/12,(A73-'Property Calculator'!$B$69)*12,-PMT(D$29/12,('Property Calculator'!$B$70-'Property Calculator'!$B$69)*12,-INDEX($F$53:$F$82,'Property Calculator'!$B$69)),INDEX($F$53:$F$82,'Property Calculator'!$B$69)))))</f>
        <v>108513.41520576476</v>
      </c>
    </row>
    <row r="74" spans="1:6" x14ac:dyDescent="0.25">
      <c r="A74">
        <v>22</v>
      </c>
      <c r="B74" s="107">
        <f>IF(A74&gt;'Property Calculator'!$B$11,0,IFERROR(B$32*(1-B$25)*(1+B$23)^(A74-1)-((('Property Calculator'!$B$93-'Property Calculator'!$B$87-'Property Calculator'!$B$92)*(1+B$11)+B$28+B$27)*(1+'Property Calculator'!$B$16)^(A74-1))-IF(A74&lt;='Property Calculator'!$B$69,B$35,IF(A74&lt;='Property Calculator'!$B$70,PMT(B$29/12,('Property Calculator'!$B$70-'Property Calculator'!$B$69)*12,-INDEX($E$53:$E$82,'Property Calculator'!$B$69))*12,0))-((B$32*(1-B$25)*(1+B$23)^(A74-1)-(((('Property Calculator'!$B$93-'Property Calculator'!$B$87-'Property Calculator'!$B$92)*(1+B$11)+B$28+B$27)*(1+'Property Calculator'!$B$16)^(A74-1))-B$28*(1+'Property Calculator'!$B$16)^(A74-1))-(IF(A74&lt;='Property Calculator'!$B$69,B$35,IF(A74&lt;='Property Calculator'!$B$70,PMT(B$29/12,('Property Calculator'!$B$70-'Property Calculator'!$B$69)*12,-INDEX($E$53:$E$82,'Property Calculator'!$B$69))*12,0))-(E73-E74))-B$37-'Property Calculator'!$B$101-IF(A74=1,'Property Calculator'!$B$58,0))*'Property Calculator'!$B$100),0))</f>
        <v>0</v>
      </c>
      <c r="C74" s="107">
        <f>IF(A74&gt;'Property Calculator'!$B$11,0,INDEX('Property Calculator'!$B$112:$AE$112,1,A74))</f>
        <v>0</v>
      </c>
      <c r="D74" s="107">
        <f>IF(A74&gt;'Property Calculator'!$B$11,0,IFERROR(D$32*(1-D$25)*(1+D$23)^(A74-1)-((('Property Calculator'!$B$93-'Property Calculator'!$B$87-'Property Calculator'!$B$92)*(1+D$11)+D$28+D$27)*(1+'Property Calculator'!$B$16)^(A74-1))-IF(A74&lt;='Property Calculator'!$B$69,D$35,IF(A74&lt;='Property Calculator'!$B$70,PMT(D$29/12,('Property Calculator'!$B$70-'Property Calculator'!$B$69)*12,-INDEX($F$53:$F$82,'Property Calculator'!$B$69))*12,0))-((D$32*(1-D$25)*(1+D$23)^(A74-1)-(((('Property Calculator'!$B$93-'Property Calculator'!$B$87-'Property Calculator'!$B$92)*(1+D$11)+D$28+D$27)*(1+'Property Calculator'!$B$16)^(A74-1))-D$28*(1+'Property Calculator'!$B$16)^(A74-1))-(IF(A74&lt;='Property Calculator'!$B$69,D$35,IF(A74&lt;='Property Calculator'!$B$70,PMT(D$29/12,('Property Calculator'!$B$70-'Property Calculator'!$B$69)*12,-INDEX($F$53:$F$82,'Property Calculator'!$B$69))*12,0))-(F73-F74))-D$37-'Property Calculator'!$B$101-IF(A74=1,'Property Calculator'!$B$58,0))*'Property Calculator'!$B$100),0))</f>
        <v>0</v>
      </c>
      <c r="E74" s="107">
        <f>IF(A74&gt;'Property Calculator'!$B$70,0,IF(A74&lt;='Property Calculator'!$B$69,MAX(0,-FV(B$21/12,A74*12,-B$35/12,B$34)),MAX(0,-FV(B$29/12,(A74-'Property Calculator'!$B$69)*12,-PMT(B$29/12,('Property Calculator'!$B$70-'Property Calculator'!$B$69)*12,-INDEX($E$53:$E$82,'Property Calculator'!$B$69)),INDEX($E$53:$E$82,'Property Calculator'!$B$69)))))</f>
        <v>164424.92232313909</v>
      </c>
      <c r="F74" s="107">
        <f>IF(A74&gt;'Property Calculator'!$B$70,0,IF(A74&lt;='Property Calculator'!$B$69,MAX(0,-FV(D$21/12,A74*12,-D$35/12,D$34)),MAX(0,-FV(D$29/12,(A74-'Property Calculator'!$B$69)*12,-PMT(D$29/12,('Property Calculator'!$B$70-'Property Calculator'!$B$69)*12,-INDEX($F$53:$F$82,'Property Calculator'!$B$69)),INDEX($F$53:$F$82,'Property Calculator'!$B$69)))))</f>
        <v>97625.264173567353</v>
      </c>
    </row>
    <row r="75" spans="1:6" x14ac:dyDescent="0.25">
      <c r="A75">
        <v>23</v>
      </c>
      <c r="B75" s="107">
        <f>IF(A75&gt;'Property Calculator'!$B$11,0,IFERROR(B$32*(1-B$25)*(1+B$23)^(A75-1)-((('Property Calculator'!$B$93-'Property Calculator'!$B$87-'Property Calculator'!$B$92)*(1+B$11)+B$28+B$27)*(1+'Property Calculator'!$B$16)^(A75-1))-IF(A75&lt;='Property Calculator'!$B$69,B$35,IF(A75&lt;='Property Calculator'!$B$70,PMT(B$29/12,('Property Calculator'!$B$70-'Property Calculator'!$B$69)*12,-INDEX($E$53:$E$82,'Property Calculator'!$B$69))*12,0))-((B$32*(1-B$25)*(1+B$23)^(A75-1)-(((('Property Calculator'!$B$93-'Property Calculator'!$B$87-'Property Calculator'!$B$92)*(1+B$11)+B$28+B$27)*(1+'Property Calculator'!$B$16)^(A75-1))-B$28*(1+'Property Calculator'!$B$16)^(A75-1))-(IF(A75&lt;='Property Calculator'!$B$69,B$35,IF(A75&lt;='Property Calculator'!$B$70,PMT(B$29/12,('Property Calculator'!$B$70-'Property Calculator'!$B$69)*12,-INDEX($E$53:$E$82,'Property Calculator'!$B$69))*12,0))-(E74-E75))-B$37-'Property Calculator'!$B$101-IF(A75=1,'Property Calculator'!$B$58,0))*'Property Calculator'!$B$100),0))</f>
        <v>0</v>
      </c>
      <c r="C75" s="107">
        <f>IF(A75&gt;'Property Calculator'!$B$11,0,INDEX('Property Calculator'!$B$112:$AE$112,1,A75))</f>
        <v>0</v>
      </c>
      <c r="D75" s="107">
        <f>IF(A75&gt;'Property Calculator'!$B$11,0,IFERROR(D$32*(1-D$25)*(1+D$23)^(A75-1)-((('Property Calculator'!$B$93-'Property Calculator'!$B$87-'Property Calculator'!$B$92)*(1+D$11)+D$28+D$27)*(1+'Property Calculator'!$B$16)^(A75-1))-IF(A75&lt;='Property Calculator'!$B$69,D$35,IF(A75&lt;='Property Calculator'!$B$70,PMT(D$29/12,('Property Calculator'!$B$70-'Property Calculator'!$B$69)*12,-INDEX($F$53:$F$82,'Property Calculator'!$B$69))*12,0))-((D$32*(1-D$25)*(1+D$23)^(A75-1)-(((('Property Calculator'!$B$93-'Property Calculator'!$B$87-'Property Calculator'!$B$92)*(1+D$11)+D$28+D$27)*(1+'Property Calculator'!$B$16)^(A75-1))-D$28*(1+'Property Calculator'!$B$16)^(A75-1))-(IF(A75&lt;='Property Calculator'!$B$69,D$35,IF(A75&lt;='Property Calculator'!$B$70,PMT(D$29/12,('Property Calculator'!$B$70-'Property Calculator'!$B$69)*12,-INDEX($F$53:$F$82,'Property Calculator'!$B$69))*12,0))-(F74-F75))-D$37-'Property Calculator'!$B$101-IF(A75=1,'Property Calculator'!$B$58,0))*'Property Calculator'!$B$100),0))</f>
        <v>0</v>
      </c>
      <c r="E75" s="107">
        <f>IF(A75&gt;'Property Calculator'!$B$70,0,IF(A75&lt;='Property Calculator'!$B$69,MAX(0,-FV(B$21/12,A75*12,-B$35/12,B$34)),MAX(0,-FV(B$29/12,(A75-'Property Calculator'!$B$69)*12,-PMT(B$29/12,('Property Calculator'!$B$70-'Property Calculator'!$B$69)*12,-INDEX($E$53:$E$82,'Property Calculator'!$B$69)),INDEX($E$53:$E$82,'Property Calculator'!$B$69)))))</f>
        <v>147911.87204155809</v>
      </c>
      <c r="F75" s="107">
        <f>IF(A75&gt;'Property Calculator'!$B$70,0,IF(A75&lt;='Property Calculator'!$B$69,MAX(0,-FV(D$21/12,A75*12,-D$35/12,D$34)),MAX(0,-FV(D$29/12,(A75-'Property Calculator'!$B$69)*12,-PMT(D$29/12,('Property Calculator'!$B$70-'Property Calculator'!$B$69)*12,-INDEX($F$53:$F$82,'Property Calculator'!$B$69)),INDEX($F$53:$F$82,'Property Calculator'!$B$69)))))</f>
        <v>86461.768602364609</v>
      </c>
    </row>
    <row r="76" spans="1:6" x14ac:dyDescent="0.25">
      <c r="A76">
        <v>24</v>
      </c>
      <c r="B76" s="107">
        <f>IF(A76&gt;'Property Calculator'!$B$11,0,IFERROR(B$32*(1-B$25)*(1+B$23)^(A76-1)-((('Property Calculator'!$B$93-'Property Calculator'!$B$87-'Property Calculator'!$B$92)*(1+B$11)+B$28+B$27)*(1+'Property Calculator'!$B$16)^(A76-1))-IF(A76&lt;='Property Calculator'!$B$69,B$35,IF(A76&lt;='Property Calculator'!$B$70,PMT(B$29/12,('Property Calculator'!$B$70-'Property Calculator'!$B$69)*12,-INDEX($E$53:$E$82,'Property Calculator'!$B$69))*12,0))-((B$32*(1-B$25)*(1+B$23)^(A76-1)-(((('Property Calculator'!$B$93-'Property Calculator'!$B$87-'Property Calculator'!$B$92)*(1+B$11)+B$28+B$27)*(1+'Property Calculator'!$B$16)^(A76-1))-B$28*(1+'Property Calculator'!$B$16)^(A76-1))-(IF(A76&lt;='Property Calculator'!$B$69,B$35,IF(A76&lt;='Property Calculator'!$B$70,PMT(B$29/12,('Property Calculator'!$B$70-'Property Calculator'!$B$69)*12,-INDEX($E$53:$E$82,'Property Calculator'!$B$69))*12,0))-(E75-E76))-B$37-'Property Calculator'!$B$101-IF(A76=1,'Property Calculator'!$B$58,0))*'Property Calculator'!$B$100),0))</f>
        <v>0</v>
      </c>
      <c r="C76" s="107">
        <f>IF(A76&gt;'Property Calculator'!$B$11,0,INDEX('Property Calculator'!$B$112:$AE$112,1,A76))</f>
        <v>0</v>
      </c>
      <c r="D76" s="107">
        <f>IF(A76&gt;'Property Calculator'!$B$11,0,IFERROR(D$32*(1-D$25)*(1+D$23)^(A76-1)-((('Property Calculator'!$B$93-'Property Calculator'!$B$87-'Property Calculator'!$B$92)*(1+D$11)+D$28+D$27)*(1+'Property Calculator'!$B$16)^(A76-1))-IF(A76&lt;='Property Calculator'!$B$69,D$35,IF(A76&lt;='Property Calculator'!$B$70,PMT(D$29/12,('Property Calculator'!$B$70-'Property Calculator'!$B$69)*12,-INDEX($F$53:$F$82,'Property Calculator'!$B$69))*12,0))-((D$32*(1-D$25)*(1+D$23)^(A76-1)-(((('Property Calculator'!$B$93-'Property Calculator'!$B$87-'Property Calculator'!$B$92)*(1+D$11)+D$28+D$27)*(1+'Property Calculator'!$B$16)^(A76-1))-D$28*(1+'Property Calculator'!$B$16)^(A76-1))-(IF(A76&lt;='Property Calculator'!$B$69,D$35,IF(A76&lt;='Property Calculator'!$B$70,PMT(D$29/12,('Property Calculator'!$B$70-'Property Calculator'!$B$69)*12,-INDEX($F$53:$F$82,'Property Calculator'!$B$69))*12,0))-(F75-F76))-D$37-'Property Calculator'!$B$101-IF(A76=1,'Property Calculator'!$B$58,0))*'Property Calculator'!$B$100),0))</f>
        <v>0</v>
      </c>
      <c r="E76" s="107">
        <f>IF(A76&gt;'Property Calculator'!$B$70,0,IF(A76&lt;='Property Calculator'!$B$69,MAX(0,-FV(B$21/12,A76*12,-B$35/12,B$34)),MAX(0,-FV(B$29/12,(A76-'Property Calculator'!$B$69)*12,-PMT(B$29/12,('Property Calculator'!$B$70-'Property Calculator'!$B$69)*12,-INDEX($E$53:$E$82,'Property Calculator'!$B$69)),INDEX($E$53:$E$82,'Property Calculator'!$B$69)))))</f>
        <v>130380.33295140066</v>
      </c>
      <c r="F76" s="107">
        <f>IF(A76&gt;'Property Calculator'!$B$70,0,IF(A76&lt;='Property Calculator'!$B$69,MAX(0,-FV(D$21/12,A76*12,-D$35/12,D$34)),MAX(0,-FV(D$29/12,(A76-'Property Calculator'!$B$69)*12,-PMT(D$29/12,('Property Calculator'!$B$70-'Property Calculator'!$B$69)*12,-INDEX($F$53:$F$82,'Property Calculator'!$B$69)),INDEX($F$53:$F$82,'Property Calculator'!$B$69)))))</f>
        <v>75015.965453626355</v>
      </c>
    </row>
    <row r="77" spans="1:6" x14ac:dyDescent="0.25">
      <c r="A77">
        <v>25</v>
      </c>
      <c r="B77" s="107">
        <f>IF(A77&gt;'Property Calculator'!$B$11,0,IFERROR(B$32*(1-B$25)*(1+B$23)^(A77-1)-((('Property Calculator'!$B$93-'Property Calculator'!$B$87-'Property Calculator'!$B$92)*(1+B$11)+B$28+B$27)*(1+'Property Calculator'!$B$16)^(A77-1))-IF(A77&lt;='Property Calculator'!$B$69,B$35,IF(A77&lt;='Property Calculator'!$B$70,PMT(B$29/12,('Property Calculator'!$B$70-'Property Calculator'!$B$69)*12,-INDEX($E$53:$E$82,'Property Calculator'!$B$69))*12,0))-((B$32*(1-B$25)*(1+B$23)^(A77-1)-(((('Property Calculator'!$B$93-'Property Calculator'!$B$87-'Property Calculator'!$B$92)*(1+B$11)+B$28+B$27)*(1+'Property Calculator'!$B$16)^(A77-1))-B$28*(1+'Property Calculator'!$B$16)^(A77-1))-(IF(A77&lt;='Property Calculator'!$B$69,B$35,IF(A77&lt;='Property Calculator'!$B$70,PMT(B$29/12,('Property Calculator'!$B$70-'Property Calculator'!$B$69)*12,-INDEX($E$53:$E$82,'Property Calculator'!$B$69))*12,0))-(E76-E77))-B$37-'Property Calculator'!$B$101-IF(A77=1,'Property Calculator'!$B$58,0))*'Property Calculator'!$B$100),0))</f>
        <v>0</v>
      </c>
      <c r="C77" s="107">
        <f>IF(A77&gt;'Property Calculator'!$B$11,0,INDEX('Property Calculator'!$B$112:$AE$112,1,A77))</f>
        <v>0</v>
      </c>
      <c r="D77" s="107">
        <f>IF(A77&gt;'Property Calculator'!$B$11,0,IFERROR(D$32*(1-D$25)*(1+D$23)^(A77-1)-((('Property Calculator'!$B$93-'Property Calculator'!$B$87-'Property Calculator'!$B$92)*(1+D$11)+D$28+D$27)*(1+'Property Calculator'!$B$16)^(A77-1))-IF(A77&lt;='Property Calculator'!$B$69,D$35,IF(A77&lt;='Property Calculator'!$B$70,PMT(D$29/12,('Property Calculator'!$B$70-'Property Calculator'!$B$69)*12,-INDEX($F$53:$F$82,'Property Calculator'!$B$69))*12,0))-((D$32*(1-D$25)*(1+D$23)^(A77-1)-(((('Property Calculator'!$B$93-'Property Calculator'!$B$87-'Property Calculator'!$B$92)*(1+D$11)+D$28+D$27)*(1+'Property Calculator'!$B$16)^(A77-1))-D$28*(1+'Property Calculator'!$B$16)^(A77-1))-(IF(A77&lt;='Property Calculator'!$B$69,D$35,IF(A77&lt;='Property Calculator'!$B$70,PMT(D$29/12,('Property Calculator'!$B$70-'Property Calculator'!$B$69)*12,-INDEX($F$53:$F$82,'Property Calculator'!$B$69))*12,0))-(F76-F77))-D$37-'Property Calculator'!$B$101-IF(A77=1,'Property Calculator'!$B$58,0))*'Property Calculator'!$B$100),0))</f>
        <v>0</v>
      </c>
      <c r="E77" s="107">
        <f>IF(A77&gt;'Property Calculator'!$B$70,0,IF(A77&lt;='Property Calculator'!$B$69,MAX(0,-FV(B$21/12,A77*12,-B$35/12,B$34)),MAX(0,-FV(B$29/12,(A77-'Property Calculator'!$B$69)*12,-PMT(B$29/12,('Property Calculator'!$B$70-'Property Calculator'!$B$69)*12,-INDEX($E$53:$E$82,'Property Calculator'!$B$69)),INDEX($E$53:$E$82,'Property Calculator'!$B$69)))))</f>
        <v>111767.48689154559</v>
      </c>
      <c r="F77" s="107">
        <f>IF(A77&gt;'Property Calculator'!$B$70,0,IF(A77&lt;='Property Calculator'!$B$69,MAX(0,-FV(D$21/12,A77*12,-D$35/12,D$34)),MAX(0,-FV(D$29/12,(A77-'Property Calculator'!$B$69)*12,-PMT(D$29/12,('Property Calculator'!$B$70-'Property Calculator'!$B$69)*12,-INDEX($F$53:$F$82,'Property Calculator'!$B$69)),INDEX($F$53:$F$82,'Property Calculator'!$B$69)))))</f>
        <v>63280.715604322089</v>
      </c>
    </row>
    <row r="78" spans="1:6" x14ac:dyDescent="0.25">
      <c r="A78">
        <v>26</v>
      </c>
      <c r="B78" s="107">
        <f>IF(A78&gt;'Property Calculator'!$B$11,0,IFERROR(B$32*(1-B$25)*(1+B$23)^(A78-1)-((('Property Calculator'!$B$93-'Property Calculator'!$B$87-'Property Calculator'!$B$92)*(1+B$11)+B$28+B$27)*(1+'Property Calculator'!$B$16)^(A78-1))-IF(A78&lt;='Property Calculator'!$B$69,B$35,IF(A78&lt;='Property Calculator'!$B$70,PMT(B$29/12,('Property Calculator'!$B$70-'Property Calculator'!$B$69)*12,-INDEX($E$53:$E$82,'Property Calculator'!$B$69))*12,0))-((B$32*(1-B$25)*(1+B$23)^(A78-1)-(((('Property Calculator'!$B$93-'Property Calculator'!$B$87-'Property Calculator'!$B$92)*(1+B$11)+B$28+B$27)*(1+'Property Calculator'!$B$16)^(A78-1))-B$28*(1+'Property Calculator'!$B$16)^(A78-1))-(IF(A78&lt;='Property Calculator'!$B$69,B$35,IF(A78&lt;='Property Calculator'!$B$70,PMT(B$29/12,('Property Calculator'!$B$70-'Property Calculator'!$B$69)*12,-INDEX($E$53:$E$82,'Property Calculator'!$B$69))*12,0))-(E77-E78))-B$37-'Property Calculator'!$B$101-IF(A78=1,'Property Calculator'!$B$58,0))*'Property Calculator'!$B$100),0))</f>
        <v>0</v>
      </c>
      <c r="C78" s="107">
        <f>IF(A78&gt;'Property Calculator'!$B$11,0,INDEX('Property Calculator'!$B$112:$AE$112,1,A78))</f>
        <v>0</v>
      </c>
      <c r="D78" s="107">
        <f>IF(A78&gt;'Property Calculator'!$B$11,0,IFERROR(D$32*(1-D$25)*(1+D$23)^(A78-1)-((('Property Calculator'!$B$93-'Property Calculator'!$B$87-'Property Calculator'!$B$92)*(1+D$11)+D$28+D$27)*(1+'Property Calculator'!$B$16)^(A78-1))-IF(A78&lt;='Property Calculator'!$B$69,D$35,IF(A78&lt;='Property Calculator'!$B$70,PMT(D$29/12,('Property Calculator'!$B$70-'Property Calculator'!$B$69)*12,-INDEX($F$53:$F$82,'Property Calculator'!$B$69))*12,0))-((D$32*(1-D$25)*(1+D$23)^(A78-1)-(((('Property Calculator'!$B$93-'Property Calculator'!$B$87-'Property Calculator'!$B$92)*(1+D$11)+D$28+D$27)*(1+'Property Calculator'!$B$16)^(A78-1))-D$28*(1+'Property Calculator'!$B$16)^(A78-1))-(IF(A78&lt;='Property Calculator'!$B$69,D$35,IF(A78&lt;='Property Calculator'!$B$70,PMT(D$29/12,('Property Calculator'!$B$70-'Property Calculator'!$B$69)*12,-INDEX($F$53:$F$82,'Property Calculator'!$B$69))*12,0))-(F77-F78))-D$37-'Property Calculator'!$B$101-IF(A78=1,'Property Calculator'!$B$58,0))*'Property Calculator'!$B$100),0))</f>
        <v>0</v>
      </c>
      <c r="E78" s="107">
        <f>IF(A78&gt;'Property Calculator'!$B$70,0,IF(A78&lt;='Property Calculator'!$B$69,MAX(0,-FV(B$21/12,A78*12,-B$35/12,B$34)),MAX(0,-FV(B$29/12,(A78-'Property Calculator'!$B$69)*12,-PMT(B$29/12,('Property Calculator'!$B$70-'Property Calculator'!$B$69)*12,-INDEX($E$53:$E$82,'Property Calculator'!$B$69)),INDEX($E$53:$E$82,'Property Calculator'!$B$69)))))</f>
        <v>92006.641214147676</v>
      </c>
      <c r="F78" s="107">
        <f>IF(A78&gt;'Property Calculator'!$B$70,0,IF(A78&lt;='Property Calculator'!$B$69,MAX(0,-FV(D$21/12,A78*12,-D$35/12,D$34)),MAX(0,-FV(D$29/12,(A78-'Property Calculator'!$B$69)*12,-PMT(D$29/12,('Property Calculator'!$B$70-'Property Calculator'!$B$69)*12,-INDEX($F$53:$F$82,'Property Calculator'!$B$69)),INDEX($F$53:$F$82,'Property Calculator'!$B$69)))))</f>
        <v>51248.699394015421</v>
      </c>
    </row>
    <row r="79" spans="1:6" x14ac:dyDescent="0.25">
      <c r="A79">
        <v>27</v>
      </c>
      <c r="B79" s="107">
        <f>IF(A79&gt;'Property Calculator'!$B$11,0,IFERROR(B$32*(1-B$25)*(1+B$23)^(A79-1)-((('Property Calculator'!$B$93-'Property Calculator'!$B$87-'Property Calculator'!$B$92)*(1+B$11)+B$28+B$27)*(1+'Property Calculator'!$B$16)^(A79-1))-IF(A79&lt;='Property Calculator'!$B$69,B$35,IF(A79&lt;='Property Calculator'!$B$70,PMT(B$29/12,('Property Calculator'!$B$70-'Property Calculator'!$B$69)*12,-INDEX($E$53:$E$82,'Property Calculator'!$B$69))*12,0))-((B$32*(1-B$25)*(1+B$23)^(A79-1)-(((('Property Calculator'!$B$93-'Property Calculator'!$B$87-'Property Calculator'!$B$92)*(1+B$11)+B$28+B$27)*(1+'Property Calculator'!$B$16)^(A79-1))-B$28*(1+'Property Calculator'!$B$16)^(A79-1))-(IF(A79&lt;='Property Calculator'!$B$69,B$35,IF(A79&lt;='Property Calculator'!$B$70,PMT(B$29/12,('Property Calculator'!$B$70-'Property Calculator'!$B$69)*12,-INDEX($E$53:$E$82,'Property Calculator'!$B$69))*12,0))-(E78-E79))-B$37-'Property Calculator'!$B$101-IF(A79=1,'Property Calculator'!$B$58,0))*'Property Calculator'!$B$100),0))</f>
        <v>0</v>
      </c>
      <c r="C79" s="107">
        <f>IF(A79&gt;'Property Calculator'!$B$11,0,INDEX('Property Calculator'!$B$112:$AE$112,1,A79))</f>
        <v>0</v>
      </c>
      <c r="D79" s="107">
        <f>IF(A79&gt;'Property Calculator'!$B$11,0,IFERROR(D$32*(1-D$25)*(1+D$23)^(A79-1)-((('Property Calculator'!$B$93-'Property Calculator'!$B$87-'Property Calculator'!$B$92)*(1+D$11)+D$28+D$27)*(1+'Property Calculator'!$B$16)^(A79-1))-IF(A79&lt;='Property Calculator'!$B$69,D$35,IF(A79&lt;='Property Calculator'!$B$70,PMT(D$29/12,('Property Calculator'!$B$70-'Property Calculator'!$B$69)*12,-INDEX($F$53:$F$82,'Property Calculator'!$B$69))*12,0))-((D$32*(1-D$25)*(1+D$23)^(A79-1)-(((('Property Calculator'!$B$93-'Property Calculator'!$B$87-'Property Calculator'!$B$92)*(1+D$11)+D$28+D$27)*(1+'Property Calculator'!$B$16)^(A79-1))-D$28*(1+'Property Calculator'!$B$16)^(A79-1))-(IF(A79&lt;='Property Calculator'!$B$69,D$35,IF(A79&lt;='Property Calculator'!$B$70,PMT(D$29/12,('Property Calculator'!$B$70-'Property Calculator'!$B$69)*12,-INDEX($F$53:$F$82,'Property Calculator'!$B$69))*12,0))-(F78-F79))-D$37-'Property Calculator'!$B$101-IF(A79=1,'Property Calculator'!$B$58,0))*'Property Calculator'!$B$100),0))</f>
        <v>0</v>
      </c>
      <c r="E79" s="107">
        <f>IF(A79&gt;'Property Calculator'!$B$70,0,IF(A79&lt;='Property Calculator'!$B$69,MAX(0,-FV(B$21/12,A79*12,-B$35/12,B$34)),MAX(0,-FV(B$29/12,(A79-'Property Calculator'!$B$69)*12,-PMT(B$29/12,('Property Calculator'!$B$70-'Property Calculator'!$B$69)*12,-INDEX($E$53:$E$82,'Property Calculator'!$B$69)),INDEX($E$53:$E$82,'Property Calculator'!$B$69)))))</f>
        <v>71026.989814775996</v>
      </c>
      <c r="F79" s="107">
        <f>IF(A79&gt;'Property Calculator'!$B$70,0,IF(A79&lt;='Property Calculator'!$B$69,MAX(0,-FV(D$21/12,A79*12,-D$35/12,D$34)),MAX(0,-FV(D$29/12,(A79-'Property Calculator'!$B$69)*12,-PMT(D$29/12,('Property Calculator'!$B$70-'Property Calculator'!$B$69)*12,-INDEX($F$53:$F$82,'Property Calculator'!$B$69)),INDEX($F$53:$F$82,'Property Calculator'!$B$69)))))</f>
        <v>38912.412059352268</v>
      </c>
    </row>
    <row r="80" spans="1:6" x14ac:dyDescent="0.25">
      <c r="A80">
        <v>28</v>
      </c>
      <c r="B80" s="107">
        <f>IF(A80&gt;'Property Calculator'!$B$11,0,IFERROR(B$32*(1-B$25)*(1+B$23)^(A80-1)-((('Property Calculator'!$B$93-'Property Calculator'!$B$87-'Property Calculator'!$B$92)*(1+B$11)+B$28+B$27)*(1+'Property Calculator'!$B$16)^(A80-1))-IF(A80&lt;='Property Calculator'!$B$69,B$35,IF(A80&lt;='Property Calculator'!$B$70,PMT(B$29/12,('Property Calculator'!$B$70-'Property Calculator'!$B$69)*12,-INDEX($E$53:$E$82,'Property Calculator'!$B$69))*12,0))-((B$32*(1-B$25)*(1+B$23)^(A80-1)-(((('Property Calculator'!$B$93-'Property Calculator'!$B$87-'Property Calculator'!$B$92)*(1+B$11)+B$28+B$27)*(1+'Property Calculator'!$B$16)^(A80-1))-B$28*(1+'Property Calculator'!$B$16)^(A80-1))-(IF(A80&lt;='Property Calculator'!$B$69,B$35,IF(A80&lt;='Property Calculator'!$B$70,PMT(B$29/12,('Property Calculator'!$B$70-'Property Calculator'!$B$69)*12,-INDEX($E$53:$E$82,'Property Calculator'!$B$69))*12,0))-(E79-E80))-B$37-'Property Calculator'!$B$101-IF(A80=1,'Property Calculator'!$B$58,0))*'Property Calculator'!$B$100),0))</f>
        <v>0</v>
      </c>
      <c r="C80" s="107">
        <f>IF(A80&gt;'Property Calculator'!$B$11,0,INDEX('Property Calculator'!$B$112:$AE$112,1,A80))</f>
        <v>0</v>
      </c>
      <c r="D80" s="107">
        <f>IF(A80&gt;'Property Calculator'!$B$11,0,IFERROR(D$32*(1-D$25)*(1+D$23)^(A80-1)-((('Property Calculator'!$B$93-'Property Calculator'!$B$87-'Property Calculator'!$B$92)*(1+D$11)+D$28+D$27)*(1+'Property Calculator'!$B$16)^(A80-1))-IF(A80&lt;='Property Calculator'!$B$69,D$35,IF(A80&lt;='Property Calculator'!$B$70,PMT(D$29/12,('Property Calculator'!$B$70-'Property Calculator'!$B$69)*12,-INDEX($F$53:$F$82,'Property Calculator'!$B$69))*12,0))-((D$32*(1-D$25)*(1+D$23)^(A80-1)-(((('Property Calculator'!$B$93-'Property Calculator'!$B$87-'Property Calculator'!$B$92)*(1+D$11)+D$28+D$27)*(1+'Property Calculator'!$B$16)^(A80-1))-D$28*(1+'Property Calculator'!$B$16)^(A80-1))-(IF(A80&lt;='Property Calculator'!$B$69,D$35,IF(A80&lt;='Property Calculator'!$B$70,PMT(D$29/12,('Property Calculator'!$B$70-'Property Calculator'!$B$69)*12,-INDEX($F$53:$F$82,'Property Calculator'!$B$69))*12,0))-(F79-F80))-D$37-'Property Calculator'!$B$101-IF(A80=1,'Property Calculator'!$B$58,0))*'Property Calculator'!$B$100),0))</f>
        <v>0</v>
      </c>
      <c r="E80" s="107">
        <f>IF(A80&gt;'Property Calculator'!$B$70,0,IF(A80&lt;='Property Calculator'!$B$69,MAX(0,-FV(B$21/12,A80*12,-B$35/12,B$34)),MAX(0,-FV(B$29/12,(A80-'Property Calculator'!$B$69)*12,-PMT(B$29/12,('Property Calculator'!$B$70-'Property Calculator'!$B$69)*12,-INDEX($E$53:$E$82,'Property Calculator'!$B$69)),INDEX($E$53:$E$82,'Property Calculator'!$B$69)))))</f>
        <v>48753.359423410962</v>
      </c>
      <c r="F80" s="107">
        <f>IF(A80&gt;'Property Calculator'!$B$70,0,IF(A80&lt;='Property Calculator'!$B$69,MAX(0,-FV(D$21/12,A80*12,-D$35/12,D$34)),MAX(0,-FV(D$29/12,(A80-'Property Calculator'!$B$69)*12,-PMT(D$29/12,('Property Calculator'!$B$70-'Property Calculator'!$B$69)*12,-INDEX($F$53:$F$82,'Property Calculator'!$B$69)),INDEX($F$53:$F$82,'Property Calculator'!$B$69)))))</f>
        <v>26264.159053092939</v>
      </c>
    </row>
    <row r="81" spans="1:6" x14ac:dyDescent="0.25">
      <c r="A81">
        <v>29</v>
      </c>
      <c r="B81" s="107">
        <f>IF(A81&gt;'Property Calculator'!$B$11,0,IFERROR(B$32*(1-B$25)*(1+B$23)^(A81-1)-((('Property Calculator'!$B$93-'Property Calculator'!$B$87-'Property Calculator'!$B$92)*(1+B$11)+B$28+B$27)*(1+'Property Calculator'!$B$16)^(A81-1))-IF(A81&lt;='Property Calculator'!$B$69,B$35,IF(A81&lt;='Property Calculator'!$B$70,PMT(B$29/12,('Property Calculator'!$B$70-'Property Calculator'!$B$69)*12,-INDEX($E$53:$E$82,'Property Calculator'!$B$69))*12,0))-((B$32*(1-B$25)*(1+B$23)^(A81-1)-(((('Property Calculator'!$B$93-'Property Calculator'!$B$87-'Property Calculator'!$B$92)*(1+B$11)+B$28+B$27)*(1+'Property Calculator'!$B$16)^(A81-1))-B$28*(1+'Property Calculator'!$B$16)^(A81-1))-(IF(A81&lt;='Property Calculator'!$B$69,B$35,IF(A81&lt;='Property Calculator'!$B$70,PMT(B$29/12,('Property Calculator'!$B$70-'Property Calculator'!$B$69)*12,-INDEX($E$53:$E$82,'Property Calculator'!$B$69))*12,0))-(E80-E81))-B$37-'Property Calculator'!$B$101-IF(A81=1,'Property Calculator'!$B$58,0))*'Property Calculator'!$B$100),0))</f>
        <v>0</v>
      </c>
      <c r="C81" s="107">
        <f>IF(A81&gt;'Property Calculator'!$B$11,0,INDEX('Property Calculator'!$B$112:$AE$112,1,A81))</f>
        <v>0</v>
      </c>
      <c r="D81" s="107">
        <f>IF(A81&gt;'Property Calculator'!$B$11,0,IFERROR(D$32*(1-D$25)*(1+D$23)^(A81-1)-((('Property Calculator'!$B$93-'Property Calculator'!$B$87-'Property Calculator'!$B$92)*(1+D$11)+D$28+D$27)*(1+'Property Calculator'!$B$16)^(A81-1))-IF(A81&lt;='Property Calculator'!$B$69,D$35,IF(A81&lt;='Property Calculator'!$B$70,PMT(D$29/12,('Property Calculator'!$B$70-'Property Calculator'!$B$69)*12,-INDEX($F$53:$F$82,'Property Calculator'!$B$69))*12,0))-((D$32*(1-D$25)*(1+D$23)^(A81-1)-(((('Property Calculator'!$B$93-'Property Calculator'!$B$87-'Property Calculator'!$B$92)*(1+D$11)+D$28+D$27)*(1+'Property Calculator'!$B$16)^(A81-1))-D$28*(1+'Property Calculator'!$B$16)^(A81-1))-(IF(A81&lt;='Property Calculator'!$B$69,D$35,IF(A81&lt;='Property Calculator'!$B$70,PMT(D$29/12,('Property Calculator'!$B$70-'Property Calculator'!$B$69)*12,-INDEX($F$53:$F$82,'Property Calculator'!$B$69))*12,0))-(F80-F81))-D$37-'Property Calculator'!$B$101-IF(A81=1,'Property Calculator'!$B$58,0))*'Property Calculator'!$B$100),0))</f>
        <v>0</v>
      </c>
      <c r="E81" s="107">
        <f>IF(A81&gt;'Property Calculator'!$B$70,0,IF(A81&lt;='Property Calculator'!$B$69,MAX(0,-FV(B$21/12,A81*12,-B$35/12,B$34)),MAX(0,-FV(B$29/12,(A81-'Property Calculator'!$B$69)*12,-PMT(B$29/12,('Property Calculator'!$B$70-'Property Calculator'!$B$69)*12,-INDEX($E$53:$E$82,'Property Calculator'!$B$69)),INDEX($E$53:$E$82,'Property Calculator'!$B$69)))))</f>
        <v>25105.940247228253</v>
      </c>
      <c r="F81" s="107">
        <f>IF(A81&gt;'Property Calculator'!$B$70,0,IF(A81&lt;='Property Calculator'!$B$69,MAX(0,-FV(D$21/12,A81*12,-D$35/12,D$34)),MAX(0,-FV(D$29/12,(A81-'Property Calculator'!$B$69)*12,-PMT(D$29/12,('Property Calculator'!$B$70-'Property Calculator'!$B$69)*12,-INDEX($F$53:$F$82,'Property Calculator'!$B$69)),INDEX($F$53:$F$82,'Property Calculator'!$B$69)))))</f>
        <v>13296.051244770992</v>
      </c>
    </row>
    <row r="82" spans="1:6" x14ac:dyDescent="0.25">
      <c r="A82">
        <v>30</v>
      </c>
      <c r="B82" s="107">
        <f>IF(A82&gt;'Property Calculator'!$B$11,0,IFERROR(B$32*(1-B$25)*(1+B$23)^(A82-1)-((('Property Calculator'!$B$93-'Property Calculator'!$B$87-'Property Calculator'!$B$92)*(1+B$11)+B$28+B$27)*(1+'Property Calculator'!$B$16)^(A82-1))-IF(A82&lt;='Property Calculator'!$B$69,B$35,IF(A82&lt;='Property Calculator'!$B$70,PMT(B$29/12,('Property Calculator'!$B$70-'Property Calculator'!$B$69)*12,-INDEX($E$53:$E$82,'Property Calculator'!$B$69))*12,0))-((B$32*(1-B$25)*(1+B$23)^(A82-1)-(((('Property Calculator'!$B$93-'Property Calculator'!$B$87-'Property Calculator'!$B$92)*(1+B$11)+B$28+B$27)*(1+'Property Calculator'!$B$16)^(A82-1))-B$28*(1+'Property Calculator'!$B$16)^(A82-1))-(IF(A82&lt;='Property Calculator'!$B$69,B$35,IF(A82&lt;='Property Calculator'!$B$70,PMT(B$29/12,('Property Calculator'!$B$70-'Property Calculator'!$B$69)*12,-INDEX($E$53:$E$82,'Property Calculator'!$B$69))*12,0))-(E81-E82))-B$37-'Property Calculator'!$B$101-IF(A82=1,'Property Calculator'!$B$58,0))*'Property Calculator'!$B$100),0))</f>
        <v>0</v>
      </c>
      <c r="C82" s="107">
        <f>IF(A82&gt;'Property Calculator'!$B$11,0,INDEX('Property Calculator'!$B$112:$AE$112,1,A82))</f>
        <v>0</v>
      </c>
      <c r="D82" s="107">
        <f>IF(A82&gt;'Property Calculator'!$B$11,0,IFERROR(D$32*(1-D$25)*(1+D$23)^(A82-1)-((('Property Calculator'!$B$93-'Property Calculator'!$B$87-'Property Calculator'!$B$92)*(1+D$11)+D$28+D$27)*(1+'Property Calculator'!$B$16)^(A82-1))-IF(A82&lt;='Property Calculator'!$B$69,D$35,IF(A82&lt;='Property Calculator'!$B$70,PMT(D$29/12,('Property Calculator'!$B$70-'Property Calculator'!$B$69)*12,-INDEX($F$53:$F$82,'Property Calculator'!$B$69))*12,0))-((D$32*(1-D$25)*(1+D$23)^(A82-1)-(((('Property Calculator'!$B$93-'Property Calculator'!$B$87-'Property Calculator'!$B$92)*(1+D$11)+D$28+D$27)*(1+'Property Calculator'!$B$16)^(A82-1))-D$28*(1+'Property Calculator'!$B$16)^(A82-1))-(IF(A82&lt;='Property Calculator'!$B$69,D$35,IF(A82&lt;='Property Calculator'!$B$70,PMT(D$29/12,('Property Calculator'!$B$70-'Property Calculator'!$B$69)*12,-INDEX($F$53:$F$82,'Property Calculator'!$B$69))*12,0))-(F81-F82))-D$37-'Property Calculator'!$B$101-IF(A82=1,'Property Calculator'!$B$58,0))*'Property Calculator'!$B$100),0))</f>
        <v>0</v>
      </c>
      <c r="E82" s="107">
        <f>IF(A82&gt;'Property Calculator'!$B$70,0,IF(A82&lt;='Property Calculator'!$B$69,MAX(0,-FV(B$21/12,A82*12,-B$35/12,B$34)),MAX(0,-FV(B$29/12,(A82-'Property Calculator'!$B$69)*12,-PMT(B$29/12,('Property Calculator'!$B$70-'Property Calculator'!$B$69)*12,-INDEX($E$53:$E$82,'Property Calculator'!$B$69)),INDEX($E$53:$E$82,'Property Calculator'!$B$69)))))</f>
        <v>1.594889909029007E-8</v>
      </c>
      <c r="F82" s="107">
        <f>IF(A82&gt;'Property Calculator'!$B$70,0,IF(A82&lt;='Property Calculator'!$B$69,MAX(0,-FV(D$21/12,A82*12,-D$35/12,D$34)),MAX(0,-FV(D$29/12,(A82-'Property Calculator'!$B$69)*12,-PMT(D$29/12,('Property Calculator'!$B$70-'Property Calculator'!$B$69)*12,-INDEX($F$53:$F$82,'Property Calculator'!$B$69)),INDEX($F$53:$F$82,'Property Calculator'!$B$69)))))</f>
        <v>0</v>
      </c>
    </row>
    <row r="83" spans="1:6" x14ac:dyDescent="0.25">
      <c r="B83" s="107"/>
      <c r="C83" s="107"/>
      <c r="D83" s="107"/>
      <c r="E83" s="107"/>
      <c r="F83" s="107"/>
    </row>
    <row r="84" spans="1:6" x14ac:dyDescent="0.25">
      <c r="A84" s="26" t="s">
        <v>203</v>
      </c>
      <c r="B84" s="107">
        <f>SUM(B53:B82)</f>
        <v>-81938.925157456775</v>
      </c>
      <c r="C84" s="107">
        <f>SUM(C53:C82)</f>
        <v>-49706.33622947253</v>
      </c>
      <c r="D84" s="107">
        <f>SUM(D53:D82)</f>
        <v>-21650.963146764763</v>
      </c>
      <c r="E84" s="107"/>
      <c r="F84" s="107"/>
    </row>
    <row r="85" spans="1:6" x14ac:dyDescent="0.25">
      <c r="A85" s="26" t="s">
        <v>204</v>
      </c>
      <c r="B85" s="107">
        <f>IFERROR(INDEX($E$53:$E$82,'Property Calculator'!$B$11),0)</f>
        <v>301603.15021893627</v>
      </c>
      <c r="C85" s="107">
        <f>IFERROR(INDEX('Property Calculator'!$B$113:$AE$113,1,'Property Calculator'!$B$11),0)</f>
        <v>246562.01314562609</v>
      </c>
      <c r="D85" s="107">
        <f>IFERROR(INDEX($F$53:$F$82,'Property Calculator'!$B$11),0)</f>
        <v>211938.02812760751</v>
      </c>
      <c r="E85" s="107"/>
      <c r="F85" s="107"/>
    </row>
  </sheetData>
  <mergeCells count="7">
    <mergeCell ref="A1:D1"/>
    <mergeCell ref="A17:D17"/>
    <mergeCell ref="A4:D4"/>
    <mergeCell ref="E41:F41"/>
    <mergeCell ref="A30:D30"/>
    <mergeCell ref="A41:D41"/>
    <mergeCell ref="A2:D2"/>
  </mergeCells>
  <conditionalFormatting sqref="B43:D43">
    <cfRule type="cellIs" dxfId="18" priority="1" operator="lessThan">
      <formula>0</formula>
    </cfRule>
  </conditionalFormatting>
  <conditionalFormatting sqref="B46:D46">
    <cfRule type="cellIs" dxfId="17" priority="4" operator="lessThan">
      <formula>0</formula>
    </cfRule>
  </conditionalFormatting>
  <conditionalFormatting sqref="B49:D49">
    <cfRule type="cellIs" dxfId="16" priority="7" operator="lessThan">
      <formula>0</formula>
    </cfRule>
  </conditionalFormatting>
  <conditionalFormatting sqref="F43:F45">
    <cfRule type="cellIs" dxfId="15" priority="8" operator="lessThan">
      <formula>1</formula>
    </cfRule>
    <cfRule type="cellIs" dxfId="14" priority="9" operator="between">
      <formula>1</formula>
      <formula>1.499999</formula>
    </cfRule>
    <cfRule type="cellIs" dxfId="13" priority="10" operator="greaterThanOrEqual">
      <formula>1.5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7DC"/>
  </sheetPr>
  <dimension ref="A1:H12"/>
  <sheetViews>
    <sheetView showGridLines="0" workbookViewId="0">
      <selection sqref="A1:H1"/>
    </sheetView>
  </sheetViews>
  <sheetFormatPr baseColWidth="10" defaultColWidth="8.7109375" defaultRowHeight="15" x14ac:dyDescent="0.25"/>
  <cols>
    <col min="1" max="1" width="40" style="70" customWidth="1"/>
    <col min="2" max="8" width="15" style="70" customWidth="1"/>
  </cols>
  <sheetData>
    <row r="1" spans="1:8" ht="30" customHeight="1" x14ac:dyDescent="0.25">
      <c r="A1" s="264" t="s">
        <v>205</v>
      </c>
      <c r="B1" s="262"/>
      <c r="C1" s="262"/>
      <c r="D1" s="262"/>
      <c r="E1" s="262"/>
      <c r="F1" s="262"/>
      <c r="G1" s="262"/>
      <c r="H1" s="262"/>
    </row>
    <row r="2" spans="1:8" ht="15" customHeight="1" x14ac:dyDescent="0.25">
      <c r="A2" s="274" t="s">
        <v>206</v>
      </c>
      <c r="B2" s="262"/>
      <c r="C2" s="262"/>
      <c r="D2" s="262"/>
      <c r="E2" s="262"/>
      <c r="F2" s="262"/>
      <c r="G2" s="262"/>
      <c r="H2" s="262"/>
    </row>
    <row r="3" spans="1:8" ht="15" customHeight="1" x14ac:dyDescent="0.25"/>
    <row r="4" spans="1:8" ht="15" customHeight="1" x14ac:dyDescent="0.25">
      <c r="A4" s="267" t="s">
        <v>207</v>
      </c>
      <c r="B4" s="262"/>
      <c r="C4" s="262"/>
      <c r="D4" s="262"/>
      <c r="E4" s="262"/>
      <c r="F4" s="262"/>
      <c r="G4" s="262"/>
      <c r="H4" s="262"/>
    </row>
    <row r="5" spans="1:8" ht="15" customHeight="1" x14ac:dyDescent="0.25">
      <c r="A5" s="2" t="s">
        <v>208</v>
      </c>
      <c r="B5" s="47">
        <v>-0.03</v>
      </c>
      <c r="C5" s="47">
        <v>-0.02</v>
      </c>
      <c r="D5" s="47">
        <v>-0.01</v>
      </c>
      <c r="E5" s="48">
        <v>0</v>
      </c>
      <c r="F5" s="47">
        <v>0.01</v>
      </c>
      <c r="G5" s="47">
        <v>0.02</v>
      </c>
      <c r="H5" s="47">
        <v>0.03</v>
      </c>
    </row>
    <row r="6" spans="1:8" ht="15" customHeight="1" x14ac:dyDescent="0.25">
      <c r="A6" s="1" t="s">
        <v>209</v>
      </c>
      <c r="B6" s="41">
        <f>'Property Calculator'!B65+B5</f>
        <v>5.0000000000000044E-3</v>
      </c>
      <c r="C6" s="41">
        <f>'Property Calculator'!B65+C5</f>
        <v>1.5000000000000003E-2</v>
      </c>
      <c r="D6" s="41">
        <f>'Property Calculator'!B65+D5</f>
        <v>2.5000000000000001E-2</v>
      </c>
      <c r="E6" s="48">
        <f>'Property Calculator'!B65+E5</f>
        <v>3.5000000000000003E-2</v>
      </c>
      <c r="F6" s="41">
        <f>'Property Calculator'!B65+F5</f>
        <v>4.5000000000000005E-2</v>
      </c>
      <c r="G6" s="41">
        <f>'Property Calculator'!B65+G5</f>
        <v>5.5000000000000007E-2</v>
      </c>
      <c r="H6" s="41">
        <f>'Property Calculator'!B65+H5</f>
        <v>6.5000000000000002E-2</v>
      </c>
    </row>
    <row r="7" spans="1:8" ht="15" customHeight="1" x14ac:dyDescent="0.25">
      <c r="A7" s="2" t="s">
        <v>35</v>
      </c>
      <c r="B7" s="102">
        <f>IFERROR(PMT(B6/12,'Property Calculator'!$B$70*12,-'Property Calculator'!$B$64),0)</f>
        <v>952.75402631143288</v>
      </c>
      <c r="C7" s="102">
        <f>IFERROR(PMT(C6/12,'Property Calculator'!$B$70*12,-'Property Calculator'!$B$64),0)</f>
        <v>1099.01805419179</v>
      </c>
      <c r="D7" s="102">
        <f>IFERROR(PMT(D6/12,'Property Calculator'!$B$70*12,-'Property Calculator'!$B$64),0)</f>
        <v>1258.2427462401265</v>
      </c>
      <c r="E7" s="108">
        <f>IFERROR(PMT(E6/12,'Property Calculator'!$B$70*12,-'Property Calculator'!$B$64),0)</f>
        <v>1429.9603560928113</v>
      </c>
      <c r="F7" s="102">
        <f>IFERROR(PMT(F6/12,'Property Calculator'!$B$70*12,-'Property Calculator'!$B$64),0)</f>
        <v>1613.5140348750258</v>
      </c>
      <c r="G7" s="102">
        <f>IFERROR(PMT(G6/12,'Property Calculator'!$B$70*12,-'Property Calculator'!$B$64),0)</f>
        <v>1808.0956853394637</v>
      </c>
      <c r="H7" s="102">
        <f>IFERROR(PMT(H6/12,'Property Calculator'!$B$70*12,-'Property Calculator'!$B$64),0)</f>
        <v>2012.7890174121685</v>
      </c>
    </row>
    <row r="8" spans="1:8" ht="15" customHeight="1" x14ac:dyDescent="0.25">
      <c r="A8" s="2" t="s">
        <v>210</v>
      </c>
      <c r="B8" s="102">
        <f>IFERROR(-CUMIPMT(B6/12,'Property Calculator'!$B$70*12,'Property Calculator'!$B$64,1,12,0),'Property Calculator'!$B$64*B6)</f>
        <v>1569.6417617857969</v>
      </c>
      <c r="C8" s="102">
        <f>IFERROR(-CUMIPMT(C6/12,'Property Calculator'!$B$70*12,'Property Calculator'!$B$64,1,12,0),'Property Calculator'!$B$64*C6)</f>
        <v>4718.6040164889546</v>
      </c>
      <c r="D8" s="102">
        <f>IFERROR(-CUMIPMT(D6/12,'Property Calculator'!$B$70*12,'Property Calculator'!$B$64,1,12,0),'Property Calculator'!$B$64*D6)</f>
        <v>7878.7672087671963</v>
      </c>
      <c r="E8" s="108">
        <f>IFERROR(-CUMIPMT(E6/12,'Property Calculator'!$B$70*12,'Property Calculator'!$B$64,1,12,0),'Property Calculator'!$B$64*E6)</f>
        <v>11048.157106934032</v>
      </c>
      <c r="F8" s="102">
        <f>IFERROR(-CUMIPMT(F6/12,'Property Calculator'!$B$70*12,'Property Calculator'!$B$64,1,12,0),'Property Calculator'!$B$64*F6)</f>
        <v>14224.928680165569</v>
      </c>
      <c r="G8" s="102">
        <f>IFERROR(-CUMIPMT(G6/12,'Property Calculator'!$B$70*12,'Property Calculator'!$B$64,1,12,0),'Property Calculator'!$B$64*G6)</f>
        <v>17407.409182948864</v>
      </c>
      <c r="H8" s="102">
        <f>IFERROR(-CUMIPMT(H6/12,'Property Calculator'!$B$70*12,'Property Calculator'!$B$64,1,12,0),'Property Calculator'!$B$64*H6)</f>
        <v>20594.127339316397</v>
      </c>
    </row>
    <row r="9" spans="1:8" ht="15" customHeight="1" x14ac:dyDescent="0.25">
      <c r="A9" s="2" t="s">
        <v>211</v>
      </c>
      <c r="B9" s="102">
        <f>'Property Calculator'!$B$82-'Property Calculator'!$B$93-B7*12-('Property Calculator'!$B$82-('Property Calculator'!$B$93-'Property Calculator'!$B$87)-B8-'Property Calculator'!$B$99-'Property Calculator'!$B$101-'Property Calculator'!$B$58)*'Property Calculator'!$B$100</f>
        <v>2885.5276242128402</v>
      </c>
      <c r="C9" s="102">
        <f>'Property Calculator'!$B$82-'Property Calculator'!$B$93-C7*12-('Property Calculator'!$B$82-('Property Calculator'!$B$93-'Property Calculator'!$B$87)-C8-'Property Calculator'!$B$99-'Property Calculator'!$B$101-'Property Calculator'!$B$58)*'Property Calculator'!$B$100</f>
        <v>2452.9234366238788</v>
      </c>
      <c r="D9" s="102">
        <f>'Property Calculator'!$B$82-'Property Calculator'!$B$93-D7*12-('Property Calculator'!$B$82-('Property Calculator'!$B$93-'Property Calculator'!$B$87)-D8-'Property Calculator'!$B$99-'Property Calculator'!$B$101-'Property Calculator'!$B$58)*'Property Calculator'!$B$100</f>
        <v>1869.4956728007037</v>
      </c>
      <c r="E9" s="108">
        <f>'Property Calculator'!$B$82-'Property Calculator'!$B$93-E7*12-('Property Calculator'!$B$82-('Property Calculator'!$B$93-'Property Calculator'!$B$87)-E8-'Property Calculator'!$B$99-'Property Calculator'!$B$101-'Property Calculator'!$B$58)*'Property Calculator'!$B$100</f>
        <v>1140.0281117985596</v>
      </c>
      <c r="F9" s="102">
        <f>'Property Calculator'!$B$82-'Property Calculator'!$B$93-F7*12-('Property Calculator'!$B$82-('Property Calculator'!$B$93-'Property Calculator'!$B$87)-F8-'Property Calculator'!$B$99-'Property Calculator'!$B$101-'Property Calculator'!$B$58)*'Property Calculator'!$B$100</f>
        <v>271.6280271692267</v>
      </c>
      <c r="G9" s="102">
        <f>'Property Calculator'!$B$82-'Property Calculator'!$B$93-G7*12-('Property Calculator'!$B$82-('Property Calculator'!$B$93-'Property Calculator'!$B$87)-G8-'Property Calculator'!$B$99-'Property Calculator'!$B$101-'Property Calculator'!$B$58)*'Property Calculator'!$B$100</f>
        <v>-726.7099672350414</v>
      </c>
      <c r="H9" s="102">
        <f>'Property Calculator'!$B$82-'Property Calculator'!$B$93-H7*12-('Property Calculator'!$B$82-('Property Calculator'!$B$93-'Property Calculator'!$B$87)-H8-'Property Calculator'!$B$99-'Property Calculator'!$B$101-'Property Calculator'!$B$58)*'Property Calculator'!$B$100</f>
        <v>-1844.6083264331355</v>
      </c>
    </row>
    <row r="10" spans="1:8" ht="15" customHeight="1" x14ac:dyDescent="0.25">
      <c r="A10" s="2" t="s">
        <v>212</v>
      </c>
      <c r="B10" s="102">
        <f>IFERROR(B7*12*'Property Calculator'!$B$70-'Property Calculator'!$B$64,0)</f>
        <v>24546.449472115841</v>
      </c>
      <c r="C10" s="102">
        <f>IFERROR(C7*12*'Property Calculator'!$B$70-'Property Calculator'!$B$64,0)</f>
        <v>77201.499509044457</v>
      </c>
      <c r="D10" s="102">
        <f>IFERROR(D7*12*'Property Calculator'!$B$70-'Property Calculator'!$B$64,0)</f>
        <v>134522.38864644553</v>
      </c>
      <c r="E10" s="108">
        <f>IFERROR(E7*12*'Property Calculator'!$B$70-'Property Calculator'!$B$64,0)</f>
        <v>196340.72819341201</v>
      </c>
      <c r="F10" s="102">
        <f>IFERROR(F7*12*'Property Calculator'!$B$70-'Property Calculator'!$B$64,0)</f>
        <v>262420.05255500926</v>
      </c>
      <c r="G10" s="102">
        <f>IFERROR(G7*12*'Property Calculator'!$B$70-'Property Calculator'!$B$64,0)</f>
        <v>332469.44672220689</v>
      </c>
      <c r="H10" s="102">
        <f>IFERROR(H7*12*'Property Calculator'!$B$70-'Property Calculator'!$B$64,0)</f>
        <v>406159.04626838071</v>
      </c>
    </row>
    <row r="11" spans="1:8" ht="15" customHeight="1" x14ac:dyDescent="0.25">
      <c r="A11" s="2" t="s">
        <v>213</v>
      </c>
      <c r="B11" s="102">
        <f>IFERROR((('Property Calculator'!$B$93-'Property Calculator'!$B$87)+('Property Calculator'!$B$87+B7*12-'Property Calculator'!$B$100*(B8+'Property Calculator'!$B$99+'Property Calculator'!$B$101+'Property Calculator'!$B$58))/(1-'Property Calculator'!$B$100))/(1-'Property Calculator'!$B$80)/12,0)</f>
        <v>576.95173231690706</v>
      </c>
      <c r="C11" s="102">
        <f>IFERROR((('Property Calculator'!$B$93-'Property Calculator'!$B$87)+('Property Calculator'!$B$87+C7*12-'Property Calculator'!$B$100*(C8+'Property Calculator'!$B$99+'Property Calculator'!$B$101+'Property Calculator'!$B$58))/(1-'Property Calculator'!$B$100))/(1-'Property Calculator'!$B$80)/12,0)</f>
        <v>640.37599158106377</v>
      </c>
      <c r="D11" s="102">
        <f>IFERROR((('Property Calculator'!$B$93-'Property Calculator'!$B$87)+('Property Calculator'!$B$87+D7*12-'Property Calculator'!$B$100*(D8+'Property Calculator'!$B$99+'Property Calculator'!$B$101+'Property Calculator'!$B$58))/(1-'Property Calculator'!$B$100))/(1-'Property Calculator'!$B$80)/12,0)</f>
        <v>725.91255090301672</v>
      </c>
      <c r="E11" s="108">
        <f>IFERROR((('Property Calculator'!$B$93-'Property Calculator'!$B$87)+('Property Calculator'!$B$87+E7*12-'Property Calculator'!$B$100*(E8+'Property Calculator'!$B$99+'Property Calculator'!$B$101+'Property Calculator'!$B$58))/(1-'Property Calculator'!$B$100))/(1-'Property Calculator'!$B$80)/12,0)</f>
        <v>832.86005867368056</v>
      </c>
      <c r="F11" s="102">
        <f>IFERROR((('Property Calculator'!$B$93-'Property Calculator'!$B$87)+('Property Calculator'!$B$87+F7*12-'Property Calculator'!$B$100*(F8+'Property Calculator'!$B$99+'Property Calculator'!$B$101+'Property Calculator'!$B$58))/(1-'Property Calculator'!$B$100))/(1-'Property Calculator'!$B$80)/12,0)</f>
        <v>960.17651490012497</v>
      </c>
      <c r="G11" s="102">
        <f>IFERROR((('Property Calculator'!$B$93-'Property Calculator'!$B$87)+('Property Calculator'!$B$87+G7*12-'Property Calculator'!$B$100*(G8+'Property Calculator'!$B$99+'Property Calculator'!$B$101+'Property Calculator'!$B$58))/(1-'Property Calculator'!$B$100))/(1-'Property Calculator'!$B$80)/12,0)</f>
        <v>1106.5432159328877</v>
      </c>
      <c r="H11" s="102">
        <f>IFERROR((('Property Calculator'!$B$93-'Property Calculator'!$B$87)+('Property Calculator'!$B$87+H7*12-'Property Calculator'!$B$100*(H8+'Property Calculator'!$B$99+'Property Calculator'!$B$101+'Property Calculator'!$B$58))/(1-'Property Calculator'!$B$100))/(1-'Property Calculator'!$B$80)/12,0)</f>
        <v>1270.4387060803917</v>
      </c>
    </row>
    <row r="12" spans="1:8" ht="15" customHeight="1" x14ac:dyDescent="0.25"/>
  </sheetData>
  <mergeCells count="3">
    <mergeCell ref="A4:H4"/>
    <mergeCell ref="A2:H2"/>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4C7DC"/>
  </sheetPr>
  <dimension ref="A1:B56"/>
  <sheetViews>
    <sheetView showGridLines="0" topLeftCell="A26" workbookViewId="0">
      <selection activeCell="C47" sqref="C47"/>
    </sheetView>
  </sheetViews>
  <sheetFormatPr baseColWidth="10" defaultColWidth="8.7109375" defaultRowHeight="15" x14ac:dyDescent="0.25"/>
  <cols>
    <col min="1" max="1" width="46" style="70" customWidth="1"/>
    <col min="2" max="2" width="24" style="70" customWidth="1"/>
  </cols>
  <sheetData>
    <row r="1" spans="1:2" ht="30" customHeight="1" x14ac:dyDescent="0.25">
      <c r="A1" s="264" t="s">
        <v>214</v>
      </c>
      <c r="B1" s="262"/>
    </row>
    <row r="2" spans="1:2" ht="25.15" customHeight="1" x14ac:dyDescent="0.25">
      <c r="A2" s="274" t="s">
        <v>215</v>
      </c>
      <c r="B2" s="262"/>
    </row>
    <row r="3" spans="1:2" ht="15" customHeight="1" x14ac:dyDescent="0.25">
      <c r="A3" s="267" t="s">
        <v>216</v>
      </c>
      <c r="B3" s="262"/>
    </row>
    <row r="4" spans="1:2" ht="15" customHeight="1" x14ac:dyDescent="0.25">
      <c r="A4" s="2" t="s">
        <v>217</v>
      </c>
      <c r="B4" s="109">
        <f>'Property Calculator'!B13</f>
        <v>448029.59046872496</v>
      </c>
    </row>
    <row r="5" spans="1:2" ht="15" customHeight="1" x14ac:dyDescent="0.25">
      <c r="A5" s="2" t="s">
        <v>218</v>
      </c>
      <c r="B5" s="99">
        <v>0.05</v>
      </c>
    </row>
    <row r="6" spans="1:2" ht="15" customHeight="1" x14ac:dyDescent="0.25">
      <c r="A6" s="2" t="s">
        <v>41</v>
      </c>
      <c r="B6" s="12">
        <f>'Property Calculator'!B11</f>
        <v>10</v>
      </c>
    </row>
    <row r="7" spans="1:2" ht="15" customHeight="1" x14ac:dyDescent="0.25">
      <c r="A7" s="2" t="s">
        <v>219</v>
      </c>
      <c r="B7" s="13">
        <v>2025</v>
      </c>
    </row>
    <row r="8" spans="1:2" ht="15" customHeight="1" x14ac:dyDescent="0.25">
      <c r="A8" s="2" t="s">
        <v>123</v>
      </c>
      <c r="B8" s="110">
        <f>'Property Calculator'!B100</f>
        <v>0.42</v>
      </c>
    </row>
    <row r="9" spans="1:2" ht="15" customHeight="1" x14ac:dyDescent="0.25"/>
    <row r="10" spans="1:2" ht="15" customHeight="1" x14ac:dyDescent="0.25">
      <c r="A10" s="278" t="s">
        <v>220</v>
      </c>
      <c r="B10" s="279"/>
    </row>
    <row r="11" spans="1:2" ht="15" customHeight="1" x14ac:dyDescent="0.25">
      <c r="A11" s="51" t="s">
        <v>221</v>
      </c>
      <c r="B11" s="111">
        <f>'Property Calculator'!$B$27+'Property Calculator'!$B$38+'Property Calculator'!$B$40+'Property Calculator'!$B$42+'Property Calculator'!$B$44+'Property Calculator'!$B$59</f>
        <v>381745</v>
      </c>
    </row>
    <row r="12" spans="1:2" ht="15" customHeight="1" x14ac:dyDescent="0.25">
      <c r="A12" s="51" t="s">
        <v>222</v>
      </c>
      <c r="B12" s="112">
        <f>IFERROR(INDEX('Property Calculator'!$B$113:$AE$113,1,B6),"—")</f>
        <v>246562.01314562609</v>
      </c>
    </row>
    <row r="13" spans="1:2" ht="15" customHeight="1" x14ac:dyDescent="0.25">
      <c r="A13" s="51" t="s">
        <v>223</v>
      </c>
      <c r="B13" s="112">
        <f>B6*'Property Calculator'!B99</f>
        <v>61079.199999999997</v>
      </c>
    </row>
    <row r="14" spans="1:2" ht="15" customHeight="1" x14ac:dyDescent="0.25">
      <c r="A14" s="51" t="s">
        <v>224</v>
      </c>
      <c r="B14" s="113">
        <f>B4-B11+B13-B17</f>
        <v>104962.3109452887</v>
      </c>
    </row>
    <row r="15" spans="1:2" ht="15" customHeight="1" x14ac:dyDescent="0.25">
      <c r="A15" s="51" t="s">
        <v>225</v>
      </c>
      <c r="B15" s="54" t="str">
        <f>IF(B6&lt;10,"Yes | taxable","No | tax-free in the model")</f>
        <v>No | tax-free in the model</v>
      </c>
    </row>
    <row r="16" spans="1:2" ht="15" customHeight="1" x14ac:dyDescent="0.25">
      <c r="A16" s="51" t="s">
        <v>226</v>
      </c>
      <c r="B16" s="113">
        <f>IF(B6&lt;10,MAX(0,B14)*B8,0)</f>
        <v>0</v>
      </c>
    </row>
    <row r="17" spans="1:2" ht="15" customHeight="1" x14ac:dyDescent="0.25">
      <c r="A17" s="51" t="s">
        <v>227</v>
      </c>
      <c r="B17" s="112">
        <f>B4*B5</f>
        <v>22401.47952343625</v>
      </c>
    </row>
    <row r="18" spans="1:2" ht="15" customHeight="1" x14ac:dyDescent="0.25">
      <c r="A18" s="51" t="s">
        <v>16</v>
      </c>
      <c r="B18" s="114">
        <f>B4-B17-B16-B12</f>
        <v>179066.09779966265</v>
      </c>
    </row>
    <row r="19" spans="1:2" ht="15" customHeight="1" x14ac:dyDescent="0.25">
      <c r="A19" s="51" t="s">
        <v>228</v>
      </c>
      <c r="B19" s="112">
        <f>IFERROR(SUM('Property Calculator'!$B$112:INDEX('Property Calculator'!$B$112:$AE$112,1,B6)),"—")</f>
        <v>-49706.33622947253</v>
      </c>
    </row>
    <row r="20" spans="1:2" ht="15" customHeight="1" x14ac:dyDescent="0.25">
      <c r="A20" s="51" t="s">
        <v>229</v>
      </c>
      <c r="B20" s="112">
        <f>-'Property Calculator'!B63</f>
        <v>-80000</v>
      </c>
    </row>
    <row r="21" spans="1:2" ht="15" customHeight="1" x14ac:dyDescent="0.25">
      <c r="A21" s="55" t="s">
        <v>17</v>
      </c>
      <c r="B21" s="115">
        <f>B18+B19+B20</f>
        <v>49359.761570190109</v>
      </c>
    </row>
    <row r="22" spans="1:2" ht="15" customHeight="1" x14ac:dyDescent="0.25">
      <c r="A22" s="267" t="s">
        <v>230</v>
      </c>
      <c r="B22" s="262"/>
    </row>
    <row r="23" spans="1:2" ht="15" customHeight="1" x14ac:dyDescent="0.25">
      <c r="A23" s="2" t="s">
        <v>231</v>
      </c>
      <c r="B23" s="116">
        <f>'Property Calculator'!$B$27*(1+'Property Calculator'!$B$12)^11</f>
        <v>459230.3302304431</v>
      </c>
    </row>
    <row r="24" spans="1:2" ht="15" customHeight="1" x14ac:dyDescent="0.25">
      <c r="A24" s="2" t="s">
        <v>232</v>
      </c>
      <c r="B24" s="102">
        <f>IFERROR(INDEX('Property Calculator'!$B$113:$AE$113,1,11),"—")</f>
        <v>237893.98716838105</v>
      </c>
    </row>
    <row r="25" spans="1:2" ht="15" customHeight="1" x14ac:dyDescent="0.25">
      <c r="A25" s="2" t="s">
        <v>233</v>
      </c>
      <c r="B25" s="102">
        <f>B23-B11+11*'Property Calculator'!$B$99-B27</f>
        <v>121710.93371892093</v>
      </c>
    </row>
    <row r="26" spans="1:2" ht="15" customHeight="1" x14ac:dyDescent="0.25">
      <c r="A26" s="2" t="s">
        <v>234</v>
      </c>
      <c r="B26" s="102">
        <v>0</v>
      </c>
    </row>
    <row r="27" spans="1:2" ht="15" customHeight="1" x14ac:dyDescent="0.25">
      <c r="A27" s="2" t="s">
        <v>235</v>
      </c>
      <c r="B27" s="102">
        <f>B23*B5</f>
        <v>22961.516511522157</v>
      </c>
    </row>
    <row r="28" spans="1:2" ht="15" customHeight="1" x14ac:dyDescent="0.25">
      <c r="A28" s="2" t="s">
        <v>236</v>
      </c>
      <c r="B28" s="117">
        <f>B23-B27-B26-B24</f>
        <v>198374.82655053987</v>
      </c>
    </row>
    <row r="29" spans="1:2" ht="15" customHeight="1" x14ac:dyDescent="0.25">
      <c r="A29" s="2" t="s">
        <v>237</v>
      </c>
      <c r="B29" s="102">
        <f>IFERROR(SUM('Property Calculator'!$B$112:INDEX('Property Calculator'!$B$112:$AE$112,1,11)),"—")</f>
        <v>-54951.881727460866</v>
      </c>
    </row>
    <row r="30" spans="1:2" ht="15" customHeight="1" x14ac:dyDescent="0.25">
      <c r="A30" s="2" t="s">
        <v>229</v>
      </c>
      <c r="B30" s="102">
        <f>-'Property Calculator'!$B$63</f>
        <v>-80000</v>
      </c>
    </row>
    <row r="31" spans="1:2" ht="15" customHeight="1" x14ac:dyDescent="0.25">
      <c r="A31" s="2" t="s">
        <v>238</v>
      </c>
      <c r="B31" s="118">
        <f>B28+B29+B30</f>
        <v>63422.944823079015</v>
      </c>
    </row>
    <row r="32" spans="1:2" ht="15" customHeight="1" x14ac:dyDescent="0.25">
      <c r="A32" t="s">
        <v>239</v>
      </c>
      <c r="B32" s="118">
        <f>B31-B21</f>
        <v>14063.183252888906</v>
      </c>
    </row>
    <row r="33" spans="1:2" ht="25.5" customHeight="1" x14ac:dyDescent="0.25">
      <c r="A33" s="276" t="str">
        <f>IF(B6&lt;10,IF(B16&gt;0,"⚠ Taxable exit im Modell (&lt; 10 Years)","Note: Section 23 review active; no positive gain"),"✓ Model assumption: tax-free after 10 years")</f>
        <v>✓ Model assumption: tax-free after 10 years</v>
      </c>
      <c r="B33" s="277"/>
    </row>
    <row r="34" spans="1:2" ht="33.950000000000003" customHeight="1" x14ac:dyDescent="0.25">
      <c r="A34" s="281" t="s">
        <v>240</v>
      </c>
      <c r="B34" s="282"/>
    </row>
    <row r="36" spans="1:2" ht="15" customHeight="1" x14ac:dyDescent="0.25">
      <c r="A36" s="280" t="s">
        <v>241</v>
      </c>
      <c r="B36" s="279"/>
    </row>
    <row r="37" spans="1:2" ht="15" customHeight="1" x14ac:dyDescent="0.25">
      <c r="A37" s="51" t="s">
        <v>242</v>
      </c>
      <c r="B37" s="114">
        <f>B19</f>
        <v>-49706.33622947253</v>
      </c>
    </row>
    <row r="38" spans="1:2" ht="15" customHeight="1" x14ac:dyDescent="0.25">
      <c r="A38" s="51" t="s">
        <v>243</v>
      </c>
      <c r="B38" s="114">
        <f>'Property Calculator'!B64-B12</f>
        <v>71882.986854373914</v>
      </c>
    </row>
    <row r="39" spans="1:2" ht="15" customHeight="1" x14ac:dyDescent="0.25">
      <c r="A39" s="51" t="s">
        <v>244</v>
      </c>
      <c r="B39" s="114">
        <f>B4-'Property Calculator'!B27</f>
        <v>98029.590468724957</v>
      </c>
    </row>
    <row r="40" spans="1:2" ht="15" customHeight="1" x14ac:dyDescent="0.25">
      <c r="A40" s="51" t="s">
        <v>245</v>
      </c>
      <c r="B40" s="114">
        <f>-B17</f>
        <v>-22401.47952343625</v>
      </c>
    </row>
    <row r="41" spans="1:2" ht="15" customHeight="1" x14ac:dyDescent="0.25">
      <c r="A41" s="51" t="s">
        <v>226</v>
      </c>
      <c r="B41" s="114">
        <f>-B16</f>
        <v>0</v>
      </c>
    </row>
    <row r="42" spans="1:2" ht="15" customHeight="1" x14ac:dyDescent="0.25">
      <c r="A42" s="51" t="s">
        <v>246</v>
      </c>
      <c r="B42" s="114">
        <f>-'Property Calculator'!B48</f>
        <v>-48445</v>
      </c>
    </row>
    <row r="43" spans="1:2" ht="15" customHeight="1" x14ac:dyDescent="0.25">
      <c r="A43" s="55" t="s">
        <v>247</v>
      </c>
      <c r="B43" s="115">
        <f>SUM(B37:B42)</f>
        <v>49359.76157019008</v>
      </c>
    </row>
    <row r="44" spans="1:2" ht="15" customHeight="1" x14ac:dyDescent="0.25">
      <c r="A44" s="51" t="s">
        <v>248</v>
      </c>
      <c r="B44" s="114">
        <f>B43-B21</f>
        <v>0</v>
      </c>
    </row>
    <row r="46" spans="1:2" ht="15" customHeight="1" x14ac:dyDescent="0.25">
      <c r="A46" s="256" t="s">
        <v>485</v>
      </c>
      <c r="B46" s="256"/>
    </row>
    <row r="47" spans="1:2" ht="15" customHeight="1" x14ac:dyDescent="0.25">
      <c r="A47" s="170" t="s">
        <v>486</v>
      </c>
      <c r="B47" s="185">
        <v>1</v>
      </c>
    </row>
    <row r="48" spans="1:2" ht="15" customHeight="1" x14ac:dyDescent="0.25">
      <c r="A48" s="170" t="s">
        <v>487</v>
      </c>
      <c r="B48" s="178">
        <v>0.03</v>
      </c>
    </row>
    <row r="49" spans="1:2" ht="15" customHeight="1" x14ac:dyDescent="0.25">
      <c r="A49" s="170" t="s">
        <v>488</v>
      </c>
      <c r="B49" s="197">
        <v>25</v>
      </c>
    </row>
    <row r="50" spans="1:2" ht="15" customHeight="1" x14ac:dyDescent="0.25">
      <c r="A50" s="170" t="s">
        <v>489</v>
      </c>
      <c r="B50" s="176">
        <f>IFERROR(INDEX('Property Calculator'!$B$105:$AE$105,1,'Property Calculator'!B11),"—")</f>
        <v>14054.28860699838</v>
      </c>
    </row>
    <row r="51" spans="1:2" ht="15" customHeight="1" x14ac:dyDescent="0.25">
      <c r="A51" s="170" t="s">
        <v>490</v>
      </c>
      <c r="B51" s="176">
        <f>IFERROR(INDEX('Property Calculator'!$B$105:$AE$105,1,'Property Calculator'!B11)-INDEX('Property Calculator'!$B$106:$AE$106,1,'Property Calculator'!B11),"—")</f>
        <v>10232.767918958523</v>
      </c>
    </row>
    <row r="52" spans="1:2" ht="15" customHeight="1" x14ac:dyDescent="0.25">
      <c r="A52" s="174" t="s">
        <v>491</v>
      </c>
      <c r="B52" s="175">
        <f>IF(B47=2,B54,IF(B47=3,B55,B53))</f>
        <v>448029.59046872496</v>
      </c>
    </row>
    <row r="53" spans="1:2" ht="15" customHeight="1" x14ac:dyDescent="0.25">
      <c r="A53" s="170" t="s">
        <v>492</v>
      </c>
      <c r="B53" s="176">
        <f>'Property Calculator'!B27*(1+'Property Calculator'!B12)^'Property Calculator'!B11</f>
        <v>448029.59046872496</v>
      </c>
    </row>
    <row r="54" spans="1:2" ht="15" customHeight="1" x14ac:dyDescent="0.25">
      <c r="A54" s="170" t="s">
        <v>493</v>
      </c>
      <c r="B54" s="176">
        <f>IFERROR(B51/B48,0)</f>
        <v>341092.2639652841</v>
      </c>
    </row>
    <row r="55" spans="1:2" ht="15" customHeight="1" x14ac:dyDescent="0.25">
      <c r="A55" s="196" t="s">
        <v>494</v>
      </c>
      <c r="B55" s="198">
        <f>IFERROR(B50*B49,0)</f>
        <v>351357.21517495951</v>
      </c>
    </row>
    <row r="56" spans="1:2" ht="32.1" customHeight="1" x14ac:dyDescent="0.25">
      <c r="A56" s="275" t="s">
        <v>495</v>
      </c>
      <c r="B56" s="275"/>
    </row>
  </sheetData>
  <mergeCells count="10">
    <mergeCell ref="A1:B1"/>
    <mergeCell ref="A3:B3"/>
    <mergeCell ref="A22:B22"/>
    <mergeCell ref="A34:B34"/>
    <mergeCell ref="A46:B46"/>
    <mergeCell ref="A56:B56"/>
    <mergeCell ref="A2:B2"/>
    <mergeCell ref="A33:B33"/>
    <mergeCell ref="A10:B10"/>
    <mergeCell ref="A36:B36"/>
  </mergeCells>
  <conditionalFormatting sqref="A33:B33">
    <cfRule type="expression" dxfId="12" priority="2">
      <formula>$B$16&gt;0</formula>
    </cfRule>
    <cfRule type="expression" dxfId="11" priority="3">
      <formula>$B$16&lt;=0</formula>
    </cfRule>
  </conditionalFormatting>
  <pageMargins left="0.7" right="0.7" top="0.75" bottom="0.75" header="0.3" footer="0.3"/>
  <legacyDrawing r:id="rId1"/>
</worksheet>
</file>

<file path=xl/worksheets/sheet9.xml><?xml version="1.0" encoding="UTF-8" standalone="yes"?>
<worksheet xmlns="http://schemas.openxmlformats.org/spreadsheetml/2006/main" xmlns:r="http://schemas.openxmlformats.org/officeDocument/2006/relationships" xmlns:mc="http://schemas.openxmlformats.org/markup-compatibility/2006" mc:Ignorable="x14ac xr xr2 xr3" xmlns:x14ac="http://schemas.microsoft.com/office/spreadsheetml/2009/9/ac" xmlns:xr="http://schemas.microsoft.com/office/spreadsheetml/2014/revision" xmlns:xr2="http://schemas.microsoft.com/office/spreadsheetml/2015/revision2" xmlns:xr3="http://schemas.microsoft.com/office/spreadsheetml/2016/revision3" xr:uid="{00000000-0001-0000-0500-000000000000}"><sheetPr><tabColor rgb="FFB4C7DC"/></sheetPr><dimension ref="A1:AX90"/><sheetViews><sheetView showGridLines="0" workbookViewId="0"><selection activeCell="B12" sqref="B12"/></sheetView></sheetViews><sheetFormatPr baseColWidth="10" defaultColWidth="8.7109375" defaultRowHeight="15" x14ac:dyDescent="0.25"/><cols><col min="1" max="1" width="32" style="70" customWidth="1"/><col min="2" max="7" width="18" style="70" customWidth="1"/><col min="28" max="28" width="9" bestFit="1" customWidth="1"/></cols><sheetData><row r="1" spans="1:28" ht="30" customHeight="1" x14ac:dyDescent="0.3"><c r="A1" s="257" t="s"><v>249</v></c><c r="B1" s="257"/><c r="C1" s="257"/><c r="D1" s="257"/><c r="E1" s="257"/><c r="F1" s="257"/><c r="G1" s="257"/><c r="AA1" t="s"><v>250</v></c><c r="AB1" s="119"><f>PMT(&apos;Property Calculator&apos;!$B$65/12,&apos;Property Calculator&apos;!$B$70*12,-1)*12</f><v>5.3885362537058938E-2</v></c></row><row r="2" spans="1:28" ht="36" customHeight="1" x14ac:dyDescent="0.25"><c r="A2" s="258" t="s"><v>408</v></c><c r="B2" s="258"/><c r="C2" s="258"/><c r="D2" s="258"/><c r="E2" s="258"/><c r="F2" s="258"/><c r="G2" s="258"/><c r="AA2" t="s"><v>251</v></c><c r="AB2" s="119"><f>-CUMIPMT(&apos;Property Calculator&apos;!$B$65/12,&apos;Property Calculator&apos;!$B$70*12,1,1,12,0)</f><v>3.4694082516396968E-2</v></c></row><row r="3" spans="1:28" ht="8.1" customHeight="1" x14ac:dyDescent="0.25"><c r="A3" s="146"/><c r="B3" s="146"/><c r="C3" s="146"/><c r="D3" s="146"/><c r="E3" s="146"/><c r="F3" s="146"/><c r="G3" s="146"/><c r="AA3" t="s"><v>252</v></c><c r="AB3" s="119"><f>AB1-&apos;Property Calculator&apos;!$B$100*AB2</f><v>3.9313847880172212E-2</v></c></row><row r="4" spans="1:28" ht="15" customHeight="1" x14ac:dyDescent="0.25"><c r="A4" s="256" t="s"><v>409</v></c><c r="B4" s="256"/><c r="C4" s="256"/><c r="D4" s="256"/><c r="E4" s="256"/><c r="F4" s="256"/><c r="G4" s="256"/><c r="AA4" t="s"><v>253</v></c><c r="AB4" s="106"><f>&apos;Property Calculator&apos;!$J$6*(1-&apos;Property Calculator&apos;!$B$100)+&apos;Property Calculator&apos;!$B$100*(&apos;Property Calculator&apos;!$B$99+&apos;Property Calculator&apos;!$B$101+&apos;Property Calculator&apos;!$B$58-&apos;Property Calculator&apos;!$B$87)</f><v>13659.326399999998</v></c></row><row r="5" spans="1:28" ht="15" customHeight="1" x14ac:dyDescent="0.25"><c r="A5" s="148" t="s"><v>410</v></c><c r="B5" s="155"><f>&apos;Property Calculator&apos;!B63</f><v>80000</v></c><c r="C5" s="146"/><c r="D5" s="146"/><c r="E5" s="146"/><c r="F5" s="146"/><c r="G5" s="146"/><c r="AA5" t="s"><v>254</v></c><c r="AB5" s="106"><f>IF(OR(NOT(ISNUMBER(AB3)),AB3&lt;=0,AB4&lt;0),&quot;—&quot;,MAX(0,MIN(&apos;Property Calculator&apos;!$B$50,&apos;Property Calculator&apos;!$B$50-AB4/AB3)))</f><v>51001.868978245533</v></c></row><row r="6" spans="1:28" ht="15" customHeight="1" x14ac:dyDescent="0.25"><c r="A6" s="148" t="s"><v>411</v></c><c r="B6" s="161"><f>IFERROR(B5/&apos;Property Calculator&apos;!B50,&quot;—&quot;)</f><v>0.20078053432719697</v></c><c r="C6" s="146"/><c r="D6" s="146"/><c r="E6" s="146"/><c r="F6" s="146"/><c r="G6" s="146"/><c r="AA6" t="s"><v>255</v></c><c r="AB6" s="37"><f>IF(OR(AB5=&quot;—&quot;,&apos;Property Calculator&apos;!$B$50=0),&quot;—&quot;,AB5/&apos;Property Calculator&apos;!$B$50)</f><v>0.12800228131422287</v></c></row><row r="7" spans="1:28" ht="15" customHeight="1" x14ac:dyDescent="0.25"><c r="A7" s="148" t="s"><v>412</v></c><c r="B7" s="155"><f>&apos;Property Calculator&apos;!B50-B5</f><v>318445</v></c><c r="C7" s="146"/><c r="D7" s="146"/><c r="E7" s="146"/><c r="F7" s="146"/><c r="G7" s="146"/><c r="AA7" t="s"><v>256</v></c><c r="AB7" s="119"><f>&apos;Property Calculator&apos;!$B$37+&apos;Property Calculator&apos;!$B$39+&apos;Property Calculator&apos;!$B$41+&apos;Property Calculator&apos;!$B$43</f><v>9.0700000000000003E-2</v></c></row><row r="8" spans="1:28" ht="15" customHeight="1" x14ac:dyDescent="0.25"><c r="A8" s="148" t="s"><v>413</v></c><c r="B8" s="161"><f>IFERROR(B7/&apos;Property Calculator&apos;!B27,&quot;—&quot;)</f><v>0.90984285714285718</v></c><c r="C8" s="146"/><c r="D8" s="146"/><c r="E8" s="146"/><c r="F8" s="146"/><c r="G8" s="146"/><c r="AA8" t="s"><v>257</v></c><c r="AB8" s="106"><f>&apos;Property Calculator&apos;!$B$45+&apos;Property Calculator&apos;!$B$46+&apos;Property Calculator&apos;!$B$47</f><v>16700</v></c></row><row r="9" spans="1:28" ht="15" customHeight="1" x14ac:dyDescent="0.25"><c r="A9" s="149" t="s"><v>414</v></c><c r="B9" s="150"><f>&apos;Property Calculator&apos;!B112</f><v>1140.028111798556</v></c><c r="C9" s="146"/><c r="D9" s="146"/><c r="E9" s="146"/><c r="F9" s="146"/><c r="G9" s="146"/><c r="AA9" t="s"><v>258</v></c><c r="AB9" s="119"><f>1+AB7</f><v>1.0907</v></c></row><row r="10" spans="1:28" ht="8.1" customHeight="1" x14ac:dyDescent="0.25"><c r="A10" s="146"/><c r="B10" s="146"/><c r="C10" s="146"/><c r="D10" s="146"/><c r="E10" s="146"/><c r="F10" s="146"/><c r="G10" s="146"/><c r="AA10" t="s"><v>259</v></c><c r="AB10" s="106"><f>&apos;Property Calculator&apos;!$J$6-&apos;Property Calculator&apos;!$B$100*(&apos;Property Calculator&apos;!$J$6+&apos;Property Calculator&apos;!$B$87-&apos;Property Calculator&apos;!$B$101-&apos;Property Calculator&apos;!$B$58)</f><v>11094</v></c></row><row r="11" spans="1:28" ht="15" customHeight="1" x14ac:dyDescent="0.25"><c r="A11" s="256" t="s"><v>415</v></c><c r="B11" s="256"/><c r="C11" s="256"/><c r="D11" s="256"/><c r="E11" s="256"/><c r="F11" s="256"/><c r="G11" s="256"/><c r="AA11" t="s"><v>260</v></c><c r="AB11" s="119"><f>AB9*&apos;Property Calculator&apos;!$B$96*&apos;Property Calculator&apos;!$B$98</f><v>1.74512E-2</v></c></row><row r="12" spans="1:28" ht="15" customHeight="1" x14ac:dyDescent="0.25"><c r="A12" s="153" t="s"><v>416</v></c><c r="B12" s="154"><f>AB5</f><v>51001.868978245533</v></c><c r="C12" s="146"/><c r="D12" s="146"/><c r="E12" s="146"/><c r="F12" s="146"/><c r="G12" s="146"/><c r="AA12" t="s"><v>262</v></c><c r="AB12" s="119"><f>-AB9*AB3+&apos;Property Calculator&apos;!$B$100*AB11</f><v>-3.555010988290383E-2</v></c></row><row r="13" spans="1:28" ht="15" customHeight="1" x14ac:dyDescent="0.25"><c r="A13" s="151" t="s"><v>417</v></c><c r="B13" s="162"><f>AB6</f><v>0.12800228131422287</v></c><c r="C13" s="146"/><c r="D13" s="146"/><c r="E13" s="146"/><c r="F13" s="146"/><c r="G13" s="146"/><c r="AA13" t="s"><v>263</v></c><c r="AB13" s="106"><f>AB10-(AB8-&apos;Property Calculator&apos;!$B$63)*AB3+&apos;Property Calculator&apos;!$B$100*&apos;Property Calculator&apos;!$B$59*&apos;Property Calculator&apos;!$B$98</f><v>13582.566570814901</v></c></row><row r="14" spans="1:28" ht="18" customHeight="1" x14ac:dyDescent="0.25"><c r="A14" s="283" t="s"><v>418</v></c><c r="B14" s="283"/><c r="C14" s="283"/><c r="D14" s="283"/><c r="E14" s="283"/><c r="F14" s="283"/><c r="G14" s="283"/><c r="AA14" t="s"><v>264</v></c><c r="AB14" s="106"><f>IF(OR(AB12&gt;=0,AB13&lt;=0),&quot;—&quot;,-AB13/AB12)</f><v>382068.20219553821</v></c></row><row r="15" spans="1:28" ht="15" customHeight="1" x14ac:dyDescent="0.25"><c r="A15" s="153" t="s"><v>419</v></c><c r="B15" s="154"><f>AB18</f><v>211250.74665621453</v></c><c r="C15" s="146"/><c r="D15" s="146"/><c r="E15" s="146"/><c r="F15" s="146"/><c r="G15" s="146"/><c r="AA15" t="s"><v>265</v></c><c r="AB15" s="106"><f>&apos;Property Calculator&apos;!$B$64</f><v>318445</v></c></row><row r="16" spans="1:28" ht="15" customHeight="1" x14ac:dyDescent="0.25"><c r="A16" s="151" t="s"><v>420</v></c><c r="B16" s="162"><f>AB19</f><v>0.53018797238317594</v></c><c r="C16" s="146"/><c r="D16" s="146"/><c r="E16" s="146"/><c r="F16" s="146"/><c r="G16" s="146"/><c r="AA16" t="s"><v>266</v></c><c r="AB16" s="37"><f>IF(SUM(AC20:AC50)=0,IF(AB20&lt;0,&quot;—&quot;,IF(AB51&gt;=0,AA51,&quot;—&quot;)),SUM(AC20:AC50))</f><v>4.7838847000187944E-2</v></c></row><row r="17" spans="1:29" ht="18" customHeight="1" x14ac:dyDescent="0.25"><c r="A17" s="283" t="s"><v>421</v></c><c r="B17" s="283"/><c r="C17" s="283"/><c r="D17" s="283"/><c r="E17" s="283"/><c r="F17" s="283"/><c r="G17" s="283"/><c r="AA17" t="s"><v>405</v></c><c r="AB17" s="106"><f>&apos;Property Calculator&apos;!$J$6*(1-&apos;Property Calculator&apos;!$B$100)+&apos;Property Calculator&apos;!$B$100*(&apos;Property Calculator&apos;!$B$99+&apos;Property Calculator&apos;!$B$101-&apos;Property Calculator&apos;!$B$87)</f><v>7359.3264000000008</v></c></row><row r="18" spans="1:29" ht="8.1" customHeight="1" x14ac:dyDescent="0.25"><c r="A18" s="146"/><c r="B18" s="146"/><c r="C18" s="146"/><c r="D18" s="146"/><c r="E18" s="146"/><c r="F18" s="146"/><c r="G18" s="146"/><c r="AA18" t="s"><v>406</v></c><c r="AB18" s="106"><f>IF(OR(NOT(ISNUMBER(AB3)),AB3&lt;=0,AB17&lt;0),&quot;—&quot;,MAX(0,MIN(&apos;Property Calculator&apos;!$B$50,&apos;Property Calculator&apos;!$B$50-AB17/AB3)))</f><v>211250.74665621453</v></c></row><row r="19" spans="1:29" ht="15" customHeight="1" x14ac:dyDescent="0.25"><c r="A19" s="256" t="s"><v>422</v></c><c r="B19" s="256"/><c r="C19" s="256"/><c r="D19" s="256"/><c r="E19" s="256"/><c r="F19" s="256"/><c r="G19" s="256"/><c r="AA19" t="s"><v>407</v></c><c r="AB19" s="147"><f>IF(OR(AB18=&quot;—&quot;,&apos;Property Calculator&apos;!$B$50=0),&quot;—&quot;,AB18/&apos;Property Calculator&apos;!$B$50)</f><v>0.53018797238317594</v></c><c r="AC19" t="s"><v>267</v></c></row><row r="20" spans="1:29" ht="15" customHeight="1" x14ac:dyDescent="0.25"><c r="A20" s="148" t="s"><v>423</v></c><c r="B20" s="155"><f>&apos;Property Calculator&apos;!B23</f><v>832.86005867368112</v></c><c r="C20" s="146"/><c r="D20" s="146"/><c r="E20" s="146"/><c r="F20" s="146"/><c r="G20" s="146"/><c r="AA20" s="37"><v>2.5000000000000001E-3</v></c><c r="AB20" s="106"><f>IFERROR(&apos;Property Calculator&apos;!$J$6-$AB$15*PMT(AA20/12,&apos;Property Calculator&apos;!$B$70*12,-1)*12-&apos;Property Calculator&apos;!$B$100*(&apos;Property Calculator&apos;!$J$6+&apos;Property Calculator&apos;!$B$87-($AB$15*(-CUMIPMT(AA20/12,&apos;Property Calculator&apos;!$B$70*12,1,1,12,0)))-&apos;Property Calculator&apos;!$B$99-&apos;Property Calculator&apos;!$B$101-&apos;Property Calculator&apos;!$B$58),NA())</f><v>2969.8005063641076</v></c><c r="AC20" s="37"><f t="shared" ref="AC20:AC50" si="0">IF(AND(ISNUMBER(AB20),ISNUMBER(AB21),AB20&gt;=0,AB21&lt;0),AA20+(0-AB20)/(AB21-AB20)*(AA21-AA20),0)</f><v>0</v></c></row><row r="21" spans="1:29" ht="15" customHeight="1" x14ac:dyDescent="0.25"><c r="A21" s="153" t="s"><v>424</v></c><c r="B21" s="154"><f>AB14</f><v>382068.20219553821</v></c><c r="C21" s="146"/><c r="D21" s="146"/><c r="E21" s="146"/><c r="F21" s="146"/><c r="G21" s="146"/><c r="AA21" s="37"><v>7.4999999999999997E-3</v></c><c r="AB21" s="106"><f>IFERROR(&apos;Property Calculator&apos;!$J$6-$AB$15*PMT(AA21/12,&apos;Property Calculator&apos;!$B$70*12,-1)*12-&apos;Property Calculator&apos;!$B$100*(&apos;Property Calculator&apos;!$J$6+&apos;Property Calculator&apos;!$B$87-($AB$15*(-CUMIPMT(AA21/12,&apos;Property Calculator&apos;!$B$70*12,1,1,12,0)))-&apos;Property Calculator&apos;!$B$99-&apos;Property Calculator&apos;!$B$101-&apos;Property Calculator&apos;!$B$58),NA())</f><v>2791.6806686047903</v></c><c r="AC21" s="37"><f t="shared" si="0"/>&lt;v&gt;0&lt;/v&gt;&lt;/c&gt;&lt;/row&gt;&lt;row r=&quot;22&quot; spans=&quot;1:29&quot; ht=&quot;15&quot; customHeight=&quot;1&quot; x14ac:dyDescent=&quot;0.25&quot;&gt;&lt;c r=&quot;A22&quot; s=&quot;151&quot; t=&quot;s&quot;&gt;&lt;v&gt;425&lt;/v&gt;&lt;/c&gt;&lt;c r=&quot;B22&quot; s=&quot;162&quot;&gt;&lt;f&gt;AB16</f><v>4.7838847000187944E-2</v></c><c r="C22" s="146"/><c r="D22" s="146"/><c r="E22" s="146"/><c r="F22" s="146"/><c r="G22" s="146"/><c r="AA22" s="37"><v>1.2500000000000001E-2</v></c><c r="AB22" s="106"><f>IFERROR(&apos;Property Calculator&apos;!$J$6-$AB$15*PMT(AA22/12,&apos;Property Calculator&apos;!$B$70*12,-1)*12-&apos;Property Calculator&apos;!$B$100*(&apos;Property Calculator&apos;!$J$6+&apos;Property Calculator&apos;!$B$87-($AB$15*(-CUMIPMT(AA22/12,&apos;Property Calculator&apos;!$B$70*12,1,1,12,0)))-&apos;Property Calculator&apos;!$B$99-&apos;Property Calculator&apos;!$B$101-&apos;Property Calculator&apos;!$B$58),NA())</f><v>2575.3448439315089</v></c><c r="AC22" s="37"><f t="shared" si="0"/>&lt;v&gt;0&lt;/v&gt;&lt;/c&gt;&lt;/row&gt;&lt;row r=&quot;23&quot; spans=&quot;1:29&quot; ht=&quot;8.1&quot; customHeight=&quot;1&quot; x14ac:dyDescent=&quot;0.25&quot;&gt;&lt;c r=&quot;A23&quot; s=&quot;146&quot;/&gt;&lt;c r=&quot;B23&quot; s=&quot;146&quot;/&gt;&lt;c r=&quot;C23&quot; s=&quot;146&quot;/&gt;&lt;c r=&quot;D23&quot; s=&quot;146&quot;/&gt;&lt;c r=&quot;E23&quot; s=&quot;146&quot;/&gt;&lt;c r=&quot;F23&quot; s=&quot;146&quot;/&gt;&lt;c r=&quot;G23&quot; s=&quot;146&quot;/&gt;&lt;c r=&quot;AA23&quot; s=&quot;37&quot;&gt;&lt;v&gt;1.7500000000000002E-2&lt;/v&gt;&lt;/c&gt;&lt;c r=&quot;AB23&quot; s=&quot;106&quot;&gt;&lt;f&gt;IFERROR(&apos;Property Calculator&apos;!$J$6-$AB$15*PMT(AA23/12,&apos;Property Calculator&apos;!$B$70*12,-1)*12-&apos;Property Calculator&apos;!$B$100*(&apos;Property Calculator&apos;!$J$6+&apos;Property Calculator&apos;!$B$87-($AB$15*(-CUMIPMT(AA23/12,&apos;Property Calculator&apos;!$B$70*12,1,1,12,0)))-&apos;Property Calculator&apos;!$B$99-&apos;Property Calculator&apos;!$B$101-&apos;Property Calculator&apos;!$B$58),NA())</f><v>2321.0625475328925</v></c><c r="AC23" s="37"><f t="shared" si="0"/>&lt;v&gt;0&lt;/v&gt;&lt;/c&gt;&lt;/row&gt;&lt;row r=&quot;24&quot; spans=&quot;1:29&quot; ht=&quot;15&quot; customHeight=&quot;1&quot; x14ac:dyDescent=&quot;0.25&quot;&gt;&lt;c r=&quot;A24&quot; s=&quot;256&quot; t=&quot;s&quot;&gt;&lt;v&gt;426&lt;/v&gt;&lt;/c&gt;&lt;c r=&quot;B24&quot; s=&quot;256&quot;/&gt;&lt;c r=&quot;C24&quot; s=&quot;256&quot;/&gt;&lt;c r=&quot;D24&quot; s=&quot;256&quot;/&gt;&lt;c r=&quot;E24&quot; s=&quot;256&quot;/&gt;&lt;c r=&quot;F24&quot; s=&quot;256&quot;/&gt;&lt;c r=&quot;G24&quot; s=&quot;256&quot;/&gt;&lt;c r=&quot;AA24&quot; s=&quot;37&quot;&gt;&lt;v&gt;2.2499999999999999E-2&lt;/v&gt;&lt;/c&gt;&lt;c r=&quot;AB24&quot; s=&quot;106&quot;&gt;&lt;f&gt;IFERROR(&apos;Property Calculator&apos;!$J$6-$AB$15*PMT(AA24/12,&apos;Property Calculator&apos;!$B$70*12,-1)*12-&apos;Property Calculator&apos;!$B$100*(&apos;Property Calculator&apos;!$J$6+&apos;Property Calculator&apos;!$B$87-($AB$15*(-CUMIPMT(AA24/12,&apos;Property Calculator&apos;!$B$70*12,1,1,12,0)))-&apos;Property Calculator&apos;!$B$99-&apos;Property Calculator&apos;!$B$101-&apos;Property Calculator&apos;!$B$58),NA())</f><v>2029.2733623135764</v></c><c r="AC24" s="37"><f t="shared" si="0"/>&lt;v&gt;0&lt;/v&gt;&lt;/c&gt;&lt;/row&gt;&lt;row r=&quot;25&quot; spans=&quot;1:29&quot; ht=&quot;27.75&quot; customHeight=&quot;1&quot; x14ac:dyDescent=&quot;0.25&quot;&gt;&lt;c r=&quot;A25&quot; s=&quot;156&quot; t=&quot;s&quot;&gt;&lt;v&gt;261&lt;/v&gt;&lt;/c&gt;&lt;c r=&quot;B25&quot; s=&quot;156&quot; t=&quot;s&quot;&gt;&lt;v&gt;90&lt;/v&gt;&lt;/c&gt;&lt;c r=&quot;C25&quot; s=&quot;156&quot; t=&quot;s&quot;&gt;&lt;v&gt;273&lt;/v&gt;&lt;/c&gt;&lt;c r=&quot;D25&quot; s=&quot;156&quot; t=&quot;s&quot;&gt;&lt;v&gt;13&lt;/v&gt;&lt;/c&gt;&lt;c r=&quot;E25&quot; s=&quot;156&quot; t=&quot;s&quot;&gt;&lt;v&gt;427&lt;/v&gt;&lt;/c&gt;&lt;c r=&quot;F25&quot; s=&quot;156&quot; t=&quot;s&quot;&gt;&lt;v&gt;6&lt;/v&gt;&lt;/c&gt;&lt;c r=&quot;G25&quot; s=&quot;158&quot; t=&quot;s&quot;&gt;&lt;v&gt;7&lt;/v&gt;&lt;/c&gt;&lt;c r=&quot;AA25&quot; s=&quot;37&quot;&gt;&lt;v&gt;2.75E-2&lt;/v&gt;&lt;/c&gt;&lt;c r=&quot;AB25&quot; s=&quot;106&quot;&gt;&lt;f&gt;IFERROR(&apos;Property Calculator&apos;!$J$6-$AB$15*PMT(AA25/12,&apos;Property Calculator&apos;!$B$70*12,-1)*12-&apos;Property Calculator&apos;!$B$100*(&apos;Property Calculator&apos;!$J$6+&apos;Property Calculator&apos;!$B$87-($AB$15*(-CUMIPMT(AA25/12,&apos;Property Calculator&apos;!$B$70*12,1,1,12,0)))-&apos;Property Calculator&apos;!$B$99-&apos;Property Calculator&apos;!$B$101-&apos;Property Calculator&apos;!$B$58),NA())</f><v>1700.5790753066485</v></c><c r="AC25" s="37"><f t="shared" si="0"/>&lt;v&gt;0&lt;/v&gt;&lt;/c&gt;&lt;/row&gt;&lt;row r=&quot;26&quot; spans=&quot;1:29&quot; ht=&quot;15&quot; customHeight=&quot;1&quot; x14ac:dyDescent=&quot;0.25&quot;&gt;&lt;c r=&quot;A26&quot; s=&quot;164&quot;&gt;&lt;v&gt;0.1&lt;/v&gt;&lt;/c&gt;&lt;c r=&quot;B26&quot; s=&quot;159&quot;&gt;&lt;f&gt;A26*&apos;Property Calculator&apos;!$B$50</f><v>39844.5</v></c><c r="C26" s="159"><f>&apos;Property Calculator&apos;!$B$50-B26</f><v>358600.5</v></c><c r="D26" s="165"><f>IFERROR(C26/&apos;Property Calculator&apos;!$B$27,&quot;—&quot;)</f><v>1.0245728571428572</v></c><c r="E26" s="159"><f>IFERROR(&apos;Property Calculator&apos;!$J$6-C26*$AB$1-&apos;Property Calculator&apos;!$B$100*(&apos;Property Calculator&apos;!$J$6+&apos;Property Calculator&apos;!$B$87-C26*$AB$2-&apos;Property Calculator&apos;!$B$99-&apos;Property Calculator&apos;!$B$101-&apos;Property Calculator&apos;!$B$58),&quot;—&quot;)</f><v>-438.63910675369698</v></c><c r="F26" s="165"><f t="shared" ref="F26:F33" si="1">IFERROR(E26/B26,&quot;—&quot;)</f><v>-1.100877427885146E-2</v></c><c r="G26" s="166"><f>IFERROR(&apos;Property Calculator&apos;!$J$6/(C26*$AB$1),&quot;—&quot;)</f><v>0.45023323754234373</v></c><c r="AA26" s="37"><v>3.2500000000000001E-2</v></c><c r="AB26" s="106"><f>IFERROR(&apos;Property Calculator&apos;!$J$6-$AB$15*PMT(AA26/12,&apos;Property Calculator&apos;!$B$70*12,-1)*12-&apos;Property Calculator&apos;!$B$100*(&apos;Property Calculator&apos;!$J$6+&apos;Property Calculator&apos;!$B$87-($AB$15*(-CUMIPMT(AA26/12,&apos;Property Calculator&apos;!$B$70*12,1,1,12,0)))-&apos;Property Calculator&apos;!$B$99-&apos;Property Calculator&apos;!$B$101-&apos;Property Calculator&apos;!$B$58),NA())</f><v>1335.7334858566974</v></c><c r="AC26" s="37"><f t="shared" si="0"/>&lt;v&gt;0&lt;/v&gt;&lt;/c&gt;&lt;/row&gt;&lt;row r=&quot;27&quot; spans=&quot;1:29&quot; ht=&quot;15&quot; customHeight=&quot;1&quot; x14ac:dyDescent=&quot;0.25&quot;&gt;&lt;c r=&quot;A27&quot; s=&quot;164&quot;&gt;&lt;v&gt;0.15&lt;/v&gt;&lt;/c&gt;&lt;c r=&quot;B27&quot; s=&quot;159&quot;&gt;&lt;f&gt;A27*&apos;Property Calculator&apos;!$B$50</f><v>59766.75</v></c><c r="C27" s="159"><f>&apos;Property Calculator&apos;!$B$50-B27</f><v>338678.25</v></c><c r="D27" s="165"><f>IFERROR(C27/&apos;Property Calculator&apos;!$B$27,&quot;—&quot;)</f><v>0.96765214285714285</v></c><c r="E27" s="159"><f>IFERROR(&apos;Property Calculator&apos;!$J$6-C27*$AB$1-&apos;Property Calculator&apos;!$B$100*(&apos;Property Calculator&apos;!$J$6+&apos;Property Calculator&apos;!$B$87-C27*$AB$2-&apos;Property Calculator&apos;!$B$99-&apos;Property Calculator&apos;!$B$101-&apos;Property Calculator&apos;!$B$58),&quot;—&quot;)</f><v>344.58119917706426</v></c><c r="F27" s="165"><f t="shared" si="1"/>&lt;v&gt;5.7654331074897709E-3&lt;/v&gt;&lt;/c&gt;&lt;c r=&quot;G27&quot; s=&quot;166&quot;&gt;&lt;f&gt;IFERROR(&apos;Property Calculator&apos;!$J$6/(C27*$AB$1),&quot;—&quot;)</f><v>0.47671754563306984</v></c><c r="AA27" s="37"><v>3.7500000000000012E-2</v></c><c r="AB27" s="106"><f>IFERROR(&apos;Property Calculator&apos;!$J$6-$AB$15*PMT(AA27/12,&apos;Property Calculator&apos;!$B$70*12,-1)*12-&apos;Property Calculator&apos;!$B$100*(&apos;Property Calculator&apos;!$J$6+&apos;Property Calculator&apos;!$B$87-($AB$15*(-CUMIPMT(AA27/12,&apos;Property Calculator&apos;!$B$70*12,1,1,12,0)))-&apos;Property Calculator&apos;!$B$99-&apos;Property Calculator&apos;!$B$101-&apos;Property Calculator&apos;!$B$58),NA())</f><v>935.63019557382904</v></c><c r="AC27" s="37"><f t="shared" si="0"/>&lt;v&gt;0&lt;/v&gt;&lt;/c&gt;&lt;/row&gt;&lt;row r=&quot;28&quot; spans=&quot;1:29&quot; ht=&quot;15&quot; customHeight=&quot;1&quot; x14ac:dyDescent=&quot;0.25&quot;&gt;&lt;c r=&quot;A28&quot; s=&quot;164&quot;&gt;&lt;v&gt;0.2&lt;/v&gt;&lt;/c&gt;&lt;c r=&quot;B28&quot; s=&quot;159&quot;&gt;&lt;f&gt;A28*&apos;Property Calculator&apos;!$B$50</f><v>79689</v></c><c r="C28" s="159"><f>&apos;Property Calculator&apos;!$B$50-B28</f><v>318756</v></c><c r="D28" s="165"><f>IFERROR(C28/&apos;Property Calculator&apos;!$B$27,&quot;—&quot;)</f><v>0.91073142857142853</v></c><c r="E28" s="159"><f>IFERROR(&apos;Property Calculator&apos;!$J$6-C28*$AB$1-&apos;Property Calculator&apos;!$B$100*(&apos;Property Calculator&apos;!$J$6+&apos;Property Calculator&apos;!$B$87-C28*$AB$2-&apos;Property Calculator&apos;!$B$99-&apos;Property Calculator&apos;!$B$101-&apos;Property Calculator&apos;!$B$58),&quot;—&quot;)</f><v>1127.8015051078255</v></c><c r="F28" s="165"><f t="shared" si="1"/>&lt;v&gt;1.4152536800660385E-2&lt;/v&gt;&lt;/c&gt;&lt;c r=&quot;G28&quot; s=&quot;166&quot;&gt;&lt;f&gt;IFERROR(&apos;Property Calculator&apos;!$J$6/(C28*$AB$1),&quot;—&quot;)</f><v>0.50651239223513667</v></c><c r="AA28" s="37"><v>4.2500000000000003E-2</v></c><c r="AB28" s="106"><f>IFERROR(&apos;Property Calculator&apos;!$J$6-$AB$15*PMT(AA28/12,&apos;Property Calculator&apos;!$B$70*12,-1)*12-&apos;Property Calculator&apos;!$B$100*(&apos;Property Calculator&apos;!$J$6+&apos;Property Calculator&apos;!$B$87-($AB$15*(-CUMIPMT(AA28/12,&apos;Property Calculator&apos;!$B$70*12,1,1,12,0)))-&apos;Property Calculator&apos;!$B$99-&apos;Property Calculator&apos;!$B$101-&apos;Property Calculator&apos;!$B$58),NA())</f><v>501.28873755444693</v></c><c r="AC28" s="37"><f t="shared" si="0"/>&lt;v&gt;0&lt;/v&gt;&lt;/c&gt;&lt;/row&gt;&lt;row r=&quot;29&quot; spans=&quot;1:29&quot; ht=&quot;15&quot; customHeight=&quot;1&quot; x14ac:dyDescent=&quot;0.25&quot;&gt;&lt;c r=&quot;A29&quot; s=&quot;164&quot;&gt;&lt;v&gt;0.25&lt;/v&gt;&lt;/c&gt;&lt;c r=&quot;B29&quot; s=&quot;159&quot;&gt;&lt;f&gt;A29*&apos;Property Calculator&apos;!$B$50</f><v>99611.25</v></c><c r="C29" s="159"><f>&apos;Property Calculator&apos;!$B$50-B29</f><v>298833.75</v></c><c r="D29" s="165"><f>IFERROR(C29/&apos;Property Calculator&apos;!$B$27,&quot;—&quot;)</f><v>0.85381071428571431</v></c><c r="E29" s="159"><f>IFERROR(&apos;Property Calculator&apos;!$J$6-C29*$AB$1-&apos;Property Calculator&apos;!$B$100*(&apos;Property Calculator&apos;!$J$6+&apos;Property Calculator&apos;!$B$87-C29*$AB$2-&apos;Property Calculator&apos;!$B$99-&apos;Property Calculator&apos;!$B$101-&apos;Property Calculator&apos;!$B$58),&quot;—&quot;)</f><v>1911.0218110385867</v></c><c r="F29" s="165"><f t="shared" si="1"/>&lt;v&gt;1.9184799016562754E-2&lt;/v&gt;&lt;/c&gt;&lt;c r=&quot;G29&quot; s=&quot;166&quot;&gt;&lt;f&gt;IFERROR(&apos;Property Calculator&apos;!$J$6/(C29*$AB$1),&quot;—&quot;)</f><v>0.54027988505081248</v></c><c r="AA29" s="37"><v>4.7500000000000001E-2</v></c><c r="AB29" s="106"><f>IFERROR(&apos;Property Calculator&apos;!$J$6-$AB$15*PMT(AA29/12,&apos;Property Calculator&apos;!$B$70*12,-1)*12-&apos;Property Calculator&apos;!$B$100*(&apos;Property Calculator&apos;!$J$6+&apos;Property Calculator&apos;!$B$87-($AB$15*(-CUMIPMT(AA29/12,&apos;Property Calculator&apos;!$B$70*12,1,1,12,0)))-&apos;Property Calculator&apos;!$B$99-&apos;Property Calculator&apos;!$B$101-&apos;Property Calculator&apos;!$B$58),NA())</f><v>33.839433544640997</v></c><c r="AC29" s="37"><f t="shared" si="0"/>&lt;v&gt;4.7838847000187944E-2&lt;/v&gt;&lt;/c&gt;&lt;/row&gt;&lt;row r=&quot;30&quot; spans=&quot;1:29&quot; ht=&quot;15&quot; customHeight=&quot;1&quot; x14ac:dyDescent=&quot;0.25&quot;&gt;&lt;c r=&quot;A30&quot; s=&quot;164&quot;&gt;&lt;v&gt;0.3&lt;/v&gt;&lt;/c&gt;&lt;c r=&quot;B30&quot; s=&quot;159&quot;&gt;&lt;f&gt;A30*&apos;Property Calculator&apos;!$B$50</f><v>119533.5</v></c><c r="C30" s="159"><f>&apos;Property Calculator&apos;!$B$50-B30</f><v>278911.5</v></c><c r="D30" s="165"><f>IFERROR(C30/&apos;Property Calculator&apos;!$B$27,&quot;—&quot;)</f><v>0.79688999999999999</v></c><c r="E30" s="159"><f>IFERROR(&apos;Property Calculator&apos;!$J$6-C30*$AB$1-&apos;Property Calculator&apos;!$B$100*(&apos;Property Calculator&apos;!$J$6+&apos;Property Calculator&apos;!$B$87-C30*$AB$2-&apos;Property Calculator&apos;!$B$99-&apos;Property Calculator&apos;!$B$101-&apos;Property Calculator&apos;!$B$58),&quot;—&quot;)</f><v>2694.242116969348</v></c><c r="F30" s="165"><f t="shared" si="1"/>&lt;v&gt;2.2539640493831E-2&lt;/v&gt;&lt;/c&gt;&lt;c r=&quot;G30&quot; s=&quot;166&quot;&gt;&lt;f&gt;IFERROR(&apos;Property Calculator&apos;!$J$6/(C30*$AB$1),&quot;—&quot;)</f><v>0.57887130541158482</v></c><c r="AA30" s="37"><v>5.2499999999999998E-2</v></c><c r="AB30" s="106"><f>IFERROR(&apos;Property Calculator&apos;!$J$6-$AB$15*PMT(AA30/12,&apos;Property Calculator&apos;!$B$70*12,-1)*12-&apos;Property Calculator&apos;!$B$100*(&apos;Property Calculator&apos;!$J$6+&apos;Property Calculator&apos;!$B$87-($AB$15*(-CUMIPMT(AA30/12,&apos;Property Calculator&apos;!$B$70*12,1,1,12,0)))-&apos;Property Calculator&apos;!$B$99-&apos;Property Calculator&apos;!$B$101-&apos;Property Calculator&apos;!$B$58),NA())</f><v>-465.49261788081094</v></c><c r="AC30" s="37"><f t="shared" si="0"/>&lt;v&gt;0&lt;/v&gt;&lt;/c&gt;&lt;/row&gt;&lt;row r=&quot;31&quot; spans=&quot;1:29&quot; ht=&quot;15&quot; customHeight=&quot;1&quot; x14ac:dyDescent=&quot;0.25&quot;&gt;&lt;c r=&quot;A31&quot; s=&quot;164&quot;&gt;&lt;v&gt;0.35&lt;/v&gt;&lt;/c&gt;&lt;c r=&quot;B31&quot; s=&quot;159&quot;&gt;&lt;f&gt;A31*&apos;Property Calculator&apos;!$B$50</f><v>139455.75</v></c><c r="C31" s="159"><f>&apos;Property Calculator&apos;!$B$50-B31</f><v>258989.25</v></c><c r="D31" s="165"><f>IFERROR(C31/&apos;Property Calculator&apos;!$B$27,&quot;—&quot;)</f><v>0.73996928571428566</v></c><c r="E31" s="159"><f>IFERROR(&apos;Property Calculator&apos;!$J$6-C31*$AB$1-&apos;Property Calculator&apos;!$B$100*(&apos;Property Calculator&apos;!$J$6+&apos;Property Calculator&apos;!$B$87-C31*$AB$2-&apos;Property Calculator&apos;!$B$99-&apos;Property Calculator&apos;!$B$101-&apos;Property Calculator&apos;!$B$58),&quot;—&quot;)</f><v>3477.4624229001092</v></c><c r="F31" s="165"><f t="shared" si="1"/>&lt;v&gt;2.493595583473689E-2&lt;/v&gt;&lt;/c&gt;&lt;c r=&quot;G31&quot; s=&quot;166&quot;&gt;&lt;f&gt;IFERROR(&apos;Property Calculator&apos;!$J$6/(C31*$AB$1),&quot;—&quot;)</f><v>0.62339986736632214</v></c><c r="AA31" s="37"><v>5.7500000000000002E-2</v></c><c r="AB31" s="106"><f>IFERROR(&apos;Property Calculator&apos;!$J$6-$AB$15*PMT(AA31/12,&apos;Property Calculator&apos;!$B$70*12,-1)*12-&apos;Property Calculator&apos;!$B$100*(&apos;Property Calculator&apos;!$J$6+&apos;Property Calculator&apos;!$B$87-($AB$15*(-CUMIPMT(AA31/12,&apos;Property Calculator&apos;!$B$70*12,1,1,12,0)))-&apos;Property Calculator&apos;!$B$99-&apos;Property Calculator&apos;!$B$101-&apos;Property Calculator&apos;!$B$58),NA())</f><v>-995.4040208958595</v></c><c r="AC31" s="37"><f t="shared" si="0"/>&lt;v&gt;0&lt;/v&gt;&lt;/c&gt;&lt;/row&gt;&lt;row r=&quot;32&quot; spans=&quot;1:29&quot; ht=&quot;15&quot; customHeight=&quot;1&quot; x14ac:dyDescent=&quot;0.25&quot;&gt;&lt;c r=&quot;A32&quot; s=&quot;164&quot;&gt;&lt;v&gt;0.4&lt;/v&gt;&lt;/c&gt;&lt;c r=&quot;B32&quot; s=&quot;159&quot;&gt;&lt;f&gt;A32*&apos;Property Calculator&apos;!$B$50</f><v>159378</v></c><c r="C32" s="159"><f>&apos;Property Calculator&apos;!$B$50-B32</f><v>239067</v></c><c r="D32" s="165"><f>IFERROR(C32/&apos;Property Calculator&apos;!$B$27,&quot;—&quot;)</f><v>0.68304857142857145</v></c><c r="E32" s="159"><f>IFERROR(&apos;Property Calculator&apos;!$J$6-C32*$AB$1-&apos;Property Calculator&apos;!$B$100*(&apos;Property Calculator&apos;!$J$6+&apos;Property Calculator&apos;!$B$87-C32*$AB$2-&apos;Property Calculator&apos;!$B$99-&apos;Property Calculator&apos;!$B$101-&apos;Property Calculator&apos;!$B$58),&quot;—&quot;)</f><v>4260.6827288308705</v></c><c r="F32" s="165"><f t="shared" si="1"/>&lt;v&gt;2.6733192340416309E-2&lt;/v&gt;&lt;/c&gt;&lt;c r=&quot;G32&quot; s=&quot;166&quot;&gt;&lt;f&gt;IFERROR(&apos;Property Calculator&apos;!$J$6/(C32*$AB$1),&quot;—&quot;)</f><v>0.67534985631351563</v></c><c r="AA32" s="37"><v>6.25E-2</v></c><c r="AB32" s="106"><f>IFERROR(&apos;Property Calculator&apos;!$J$6-$AB$15*PMT(AA32/12,&apos;Property Calculator&apos;!$B$70*12,-1)*12-&apos;Property Calculator&apos;!$B$100*(&apos;Property Calculator&apos;!$J$6+&apos;Property Calculator&apos;!$B$87-($AB$15*(-CUMIPMT(AA32/12,&apos;Property Calculator&apos;!$B$70*12,1,1,12,0)))-&apos;Property Calculator&apos;!$B$99-&apos;Property Calculator&apos;!$B$101-&apos;Property Calculator&apos;!$B$58),NA())</f><v>-1554.5296451924114</v></c><c r="AC32" s="37"><f t="shared" si="0"/>&lt;v&gt;0&lt;/v&gt;&lt;/c&gt;&lt;/row&gt;&lt;row r=&quot;33&quot; spans=&quot;1:29&quot; ht=&quot;15&quot; customHeight=&quot;1&quot; x14ac:dyDescent=&quot;0.25&quot;&gt;&lt;c r=&quot;A33&quot; s=&quot;167&quot;&gt;&lt;v&gt;0.5&lt;/v&gt;&lt;/c&gt;&lt;c r=&quot;B33&quot; s=&quot;157&quot;&gt;&lt;f&gt;A33*&apos;Property Calculator&apos;!$B$50</f><v>199222.5</v></c><c r="C33" s="157"><f>&apos;Property Calculator&apos;!$B$50-B33</f><v>199222.5</v></c><c r="D33" s="168"><f>IFERROR(C33/&apos;Property Calculator&apos;!$B$27,&quot;—&quot;)</f><v>0.56920714285714291</v></c><c r="E33" s="157"><f>IFERROR(&apos;Property Calculator&apos;!$J$6-C33*$AB$1-&apos;Property Calculator&apos;!$B$100*(&apos;Property Calculator&apos;!$J$6+&apos;Property Calculator&apos;!$B$87-C33*$AB$2-&apos;Property Calculator&apos;!$B$99-&apos;Property Calculator&apos;!$B$101-&apos;Property Calculator&apos;!$B$58),&quot;—&quot;)</f><v>5827.123340692392</v></c><c r="F33" s="168"><f t="shared" si="1"/>&lt;v&gt;2.924932344836749E-2&lt;/v&gt;&lt;/c&gt;&lt;c r=&quot;G33&quot; s=&quot;169&quot;&gt;&lt;f&gt;IFERROR(&apos;Property Calculator&apos;!$J$6/(C33*$AB$1),&quot;—&quot;)</f><v>0.81041982757621878</v></c><c r="AA33" s="37"><v>6.7500000000000004E-2</v></c><c r="AB33" s="106"><f>IFERROR(&apos;Property Calculator&apos;!$J$6-$AB$15*PMT(AA33/12,&apos;Property Calculator&apos;!$B$70*12,-1)*12-&apos;Property Calculator&apos;!$B$100*(&apos;Property Calculator&apos;!$J$6+&apos;Property Calculator&apos;!$B$87-($AB$15*(-CUMIPMT(AA33/12,&apos;Property Calculator&apos;!$B$70*12,1,1,12,0)))-&apos;Property Calculator&apos;!$B$99-&apos;Property Calculator&apos;!$B$101-&apos;Property Calculator&apos;!$B$58),NA())</f><v>-2141.4589167336471</v></c><c r="AC33" s="37"><f t="shared" si="0"/>&lt;v&gt;0&lt;/v&gt;&lt;/c&gt;&lt;/row&gt;&lt;row r=&quot;34&quot; spans=&quot;1:29&quot; ht=&quot;27.95&quot; customHeight=&quot;1&quot; x14ac:dyDescent=&quot;0.25&quot;&gt;&lt;c r=&quot;A34&quot; s=&quot;275&quot; t=&quot;s&quot;&gt;&lt;v&gt;428&lt;/v&gt;&lt;/c&gt;&lt;c r=&quot;B34&quot; s=&quot;275&quot;/&gt;&lt;c r=&quot;C34&quot; s=&quot;275&quot;/&gt;&lt;c r=&quot;D34&quot; s=&quot;275&quot;/&gt;&lt;c r=&quot;E34&quot; s=&quot;275&quot;/&gt;&lt;c r=&quot;F34&quot; s=&quot;275&quot;/&gt;&lt;c r=&quot;G34&quot; s=&quot;275&quot;/&gt;&lt;c r=&quot;AA34&quot; s=&quot;37&quot;&gt;&lt;v&gt;7.2500000000000009E-2&lt;/v&gt;&lt;/c&gt;&lt;c r=&quot;AB34&quot; s=&quot;106&quot;&gt;&lt;f&gt;IFERROR(&apos;Property Calculator&apos;!$J$6-$AB$15*PMT(AA34/12,&apos;Property Calculator&apos;!$B$70*12,-1)*12-&apos;Property Calculator&apos;!$B$100*(&apos;Property Calculator&apos;!$J$6+&apos;Property Calculator&apos;!$B$87-($AB$15*(-CUMIPMT(AA34/12,&apos;Property Calculator&apos;!$B$70*12,1,1,12,0)))-&apos;Property Calculator&apos;!$B$99-&apos;Property Calculator&apos;!$B$101-&apos;Property Calculator&apos;!$B$58),NA())</f><v>-2754.7515207236993</v></c><c r="AC34" s="37"><f t="shared" si="0"/>&lt;v&gt;0&lt;/v&gt;&lt;/c&gt;&lt;/row&gt;&lt;row r=&quot;35&quot; spans=&quot;1:29&quot; ht=&quot;8.1&quot; customHeight=&quot;1&quot; x14ac:dyDescent=&quot;0.25&quot;&gt;&lt;c r=&quot;A35&quot; s=&quot;146&quot;/&gt;&lt;c r=&quot;B35&quot; s=&quot;146&quot;/&gt;&lt;c r=&quot;C35&quot; s=&quot;146&quot;/&gt;&lt;c r=&quot;D35&quot; s=&quot;146&quot;/&gt;&lt;c r=&quot;E35&quot; s=&quot;146&quot;/&gt;&lt;c r=&quot;F35&quot; s=&quot;146&quot;/&gt;&lt;c r=&quot;G35&quot; s=&quot;146&quot;/&gt;&lt;c r=&quot;AA35&quot; s=&quot;37&quot;&gt;&lt;v&gt;7.7499999999999999E-2&lt;/v&gt;&lt;/c&gt;&lt;c r=&quot;AB35&quot; s=&quot;106&quot;&gt;&lt;f&gt;IFERROR(&apos;Property Calculator&apos;!$J$6-$AB$15*PMT(AA35/12,&apos;Property Calculator&apos;!$B$70*12,-1)*12-&apos;Property Calculator&apos;!$B$100*(&apos;Property Calculator&apos;!$J$6+&apos;Property Calculator&apos;!$B$87-($AB$15*(-CUMIPMT(AA35/12,&apos;Property Calculator&apos;!$B$70*12,1,1,12,0)))-&apos;Property Calculator&apos;!$B$99-&apos;Property Calculator&apos;!$B$101-&apos;Property Calculator&apos;!$B$58),NA())</f><v>-3392.9522476874827</v></c><c r="AC35" s="37"><f t="shared" si="0"/>&lt;v&gt;0&lt;/v&gt;&lt;/c&gt;&lt;/row&gt;&lt;row r=&quot;36&quot; spans=&quot;1:29&quot; ht=&quot;15&quot; customHeight=&quot;1&quot; x14ac:dyDescent=&quot;0.25&quot;&gt;&lt;c r=&quot;A36&quot; s=&quot;256&quot; t=&quot;s&quot;&gt;&lt;v&gt;429&lt;/v&gt;&lt;/c&gt;&lt;c r=&quot;B36&quot; s=&quot;256&quot;/&gt;&lt;c r=&quot;C36&quot; s=&quot;256&quot;/&gt;&lt;c r=&quot;D36&quot; s=&quot;256&quot;/&gt;&lt;c r=&quot;E36&quot; s=&quot;256&quot;/&gt;&lt;c r=&quot;F36&quot; s=&quot;256&quot;/&gt;&lt;c r=&quot;G36&quot; s=&quot;256&quot;/&gt;&lt;c r=&quot;AA36&quot; s=&quot;37&quot;&gt;&lt;v&gt;8.2500000000000004E-2&lt;/v&gt;&lt;/c&gt;&lt;c r=&quot;AB36&quot; s=&quot;106&quot;&gt;&lt;f&gt;IFERROR(&apos;Property Calculator&apos;!$J$6-$AB$15*PMT(AA36/12,&apos;Property Calculator&apos;!$B$70*12,-1)*12-&apos;Property Calculator&apos;!$B$100*(&apos;Property Calculator&apos;!$J$6+&apos;Property Calculator&apos;!$B$87-($AB$15*(-CUMIPMT(AA36/12,&apos;Property Calculator&apos;!$B$70*12,1,1,12,0)))-&apos;Property Calculator&apos;!$B$99-&apos;Property Calculator&apos;!$B$101-&apos;Property Calculator&apos;!$B$58),NA())</f><v>-4054.6047645335966</v></c><c r="AC36" s="37"><f t="shared" si="0"/>&lt;v&gt;0&lt;/v&gt;&lt;/c&gt;&lt;/row&gt;&lt;row r=&quot;37&quot; spans=&quot;1:29&quot; ht=&quot;15&quot; customHeight=&quot;1&quot; x14ac:dyDescent=&quot;0.25&quot;&gt;&lt;c r=&quot;A37&quot; s=&quot;148&quot; t=&quot;s&quot;&gt;&lt;v&gt;268&lt;/v&gt;&lt;/c&gt;&lt;c r=&quot;B37&quot; s=&quot;163&quot;&gt;&lt;v&gt;0.08&lt;/v&gt;&lt;/c&gt;&lt;c r=&quot;C37&quot; s=&quot;146&quot;/&gt;&lt;c r=&quot;D37&quot; s=&quot;146&quot;/&gt;&lt;c r=&quot;E37&quot; s=&quot;146&quot;/&gt;&lt;c r=&quot;F37&quot; s=&quot;146&quot;/&gt;&lt;c r=&quot;G37&quot; s=&quot;146&quot;/&gt;&lt;c r=&quot;AA37&quot; s=&quot;37&quot;&gt;&lt;v&gt;8.7500000000000008E-2&lt;/v&gt;&lt;/c&gt;&lt;c r=&quot;AB37&quot; s=&quot;106&quot;&gt;&lt;f&gt;IFERROR(&apos;Property Calculator&apos;!$J$6-$AB$15*PMT(AA37/12,&apos;Property Calculator&apos;!$B$70*12,-1)*12-&apos;Property Calculator&apos;!$B$100*(&apos;Property Calculator&apos;!$J$6+&apos;Property Calculator&apos;!$B$87-($AB$15*(-CUMIPMT(AA37/12,&apos;Property Calculator&apos;!$B$70*12,1,1,12,0)))-&apos;Property Calculator&apos;!$B$99-&apos;Property Calculator&apos;!$B$101-&apos;Property Calculator&apos;!$B$58),NA())</f><v>-4738.2641450248557</v></c><c r="AC37" s="37"><f t="shared" si="0"/>&lt;v&gt;0&lt;/v&gt;&lt;/c&gt;&lt;/row&gt;&lt;row r=&quot;38&quot; spans=&quot;1:29&quot; ht=&quot;15&quot; customHeight=&quot;1&quot; x14ac:dyDescent=&quot;0.25&quot;&gt;&lt;c r=&quot;A38&quot; s=&quot;148&quot; t=&quot;s&quot;&gt;&lt;v&gt;269&lt;/v&gt;&lt;/c&gt;&lt;c r=&quot;B38&quot; s=&quot;160&quot;&gt;&lt;v&gt;0&lt;/v&gt;&lt;/c&gt;&lt;c r=&quot;C38&quot; s=&quot;146&quot;/&gt;&lt;c r=&quot;D38&quot; s=&quot;146&quot;/&gt;&lt;c r=&quot;E38&quot; s=&quot;146&quot;/&gt;&lt;c r=&quot;F38&quot; s=&quot;146&quot;/&gt;&lt;c r=&quot;G38&quot; s=&quot;146&quot;/&gt;&lt;c r=&quot;AA38&quot; s=&quot;37&quot;&gt;&lt;v&gt;9.2499999999999999E-2&lt;/v&gt;&lt;/c&gt;&lt;c r=&quot;AB38&quot; s=&quot;106&quot;&gt;&lt;f&gt;IFERROR(&apos;Property Calculator&apos;!$J$6-$AB$15*PMT(AA38/12,&apos;Property Calculator&apos;!$B$70*12,-1)*12-&apos;Property Calculator&apos;!$B$100*(&apos;Property Calculator&apos;!$J$6+&apos;Property Calculator&apos;!$B$87-($AB$15*(-CUMIPMT(AA38/12,&apos;Property Calculator&apos;!$B$70*12,1,1,12,0)))-&apos;Property Calculator&apos;!$B$99-&apos;Property Calculator&apos;!$B$101-&apos;Property Calculator&apos;!$B$58),NA())</f><v>-5442.5080457567601</v></c><c r="AC38" s="37"><f t="shared" si="0"/>&lt;v&gt;0&lt;/v&gt;&lt;/c&gt;&lt;/row&gt;&lt;row r=&quot;39&quot; spans=&quot;1:29&quot; ht=&quot;15&quot; customHeight=&quot;1&quot; x14ac:dyDescent=&quot;0.25&quot;&gt;&lt;c r=&quot;A39&quot; s=&quot;148&quot; t=&quot;s&quot;&gt;&lt;v&gt;270&lt;/v&gt;&lt;/c&gt;&lt;c r=&quot;B39&quot; s=&quot;163&quot;&gt;&lt;v&gt;0.85&lt;/v&gt;&lt;/c&gt;&lt;c r=&quot;C39&quot; s=&quot;146&quot;/&gt;&lt;c r=&quot;D39&quot; s=&quot;146&quot;/&gt;&lt;c r=&quot;E39&quot; s=&quot;146&quot;/&gt;&lt;c r=&quot;F39&quot; s=&quot;146&quot;/&gt;&lt;c r=&quot;G39&quot; s=&quot;146&quot;/&gt;&lt;c r=&quot;AA39&quot; s=&quot;37&quot;&gt;&lt;v&gt;9.7500000000000003E-2&lt;/v&gt;&lt;/c&gt;&lt;c r=&quot;AB39&quot; s=&quot;106&quot;&gt;&lt;f&gt;IFERROR(&apos;Property Calculator&apos;!$J$6-$AB$15*PMT(AA39/12,&apos;Property Calculator&apos;!$B$70*12,-1)*12-&apos;Property Calculator&apos;!$B$100*(&apos;Property Calculator&apos;!$J$6+&apos;Property Calculator&apos;!$B$87-($AB$15*(-CUMIPMT(AA39/12,&apos;Property Calculator&apos;!$B$70*12,1,1,12,0)))-&apos;Property Calculator&apos;!$B$99-&apos;Property Calculator&apos;!$B$101-&apos;Property Calculator&apos;!$B$58),NA())</f><v>-6165.9464625052315</v></c><c r="AC39" s="37"><f t="shared" si="0"/>&lt;v&gt;0&lt;/v&gt;&lt;/c&gt;&lt;/row&gt;&lt;row r=&quot;40&quot; spans=&quot;1:29&quot; ht=&quot;15&quot; customHeight=&quot;1&quot; x14ac:dyDescent=&quot;0.25&quot;&gt;&lt;c r=&quot;A40&quot; s=&quot;151&quot; t=&quot;s&quot;&gt;&lt;v&gt;271&lt;/v&gt;&lt;/c&gt;&lt;c r=&quot;B40&quot; s=&quot;152&quot; t=&quot;str&quot;&gt;&lt;f&gt;IF(SUM(AX60:AX89)&gt;0,SUM(AX60:AX89),IF(MAX(AW60:AW90)=0,&quot;—&quot;,MAX(AW60:AW90)))</f><v>—</v></c><c r="C40" s="146"/><c r="D40" s="146"/><c r="E40" s="146"/><c r="F40" s="146"/><c r="G40" s="146"/><c r="AA40" s="37"><v>0.10249999999999999</v></c><c r="AB40" s="106"><f>IFERROR(&apos;Property Calculator&apos;!$J$6-$AB$15*PMT(AA40/12,&apos;Property Calculator&apos;!$B$70*12,-1)*12-&apos;Property Calculator&apos;!$B$100*(&apos;Property Calculator&apos;!$J$6+&apos;Property Calculator&apos;!$B$87-($AB$15*(-CUMIPMT(AA40/12,&apos;Property Calculator&apos;!$B$70*12,1,1,12,0)))-&apos;Property Calculator&apos;!$B$99-&apos;Property Calculator&apos;!$B$101-&apos;Property Calculator&apos;!$B$58),NA())</f><v>-6907.2300460728256</v></c><c r="AC40" s="37"><f t="shared" si="0"/>&lt;v&gt;0&lt;/v&gt;&lt;/c&gt;&lt;/row&gt;&lt;row r=&quot;41&quot; spans=&quot;1:29&quot; ht=&quot;32.1&quot; customHeight=&quot;1&quot; x14ac:dyDescent=&quot;0.25&quot;&gt;&lt;c r=&quot;A41&quot; s=&quot;283&quot; t=&quot;str&quot;&gt;&lt;f&gt;IF(B40=&quot;—&quot;,&quot;No grid price between €200k and €500k meets the target XIRR, minimum cash flow, and maximum LTV at the same time. In the example data, levered XIRR is below 8% even at €200k, and the LTV cap often binds first.&quot;,&quot;&quot;)</f><v>No grid price between €200k and €500k meets the target XIRR, minimum cash flow, and maximum LTV at the same time. In the example data, levered XIRR is below 8% even at €200k, and the LTV cap often binds first.</v></c><c r="B41" s="283"/><c r="C41" s="283"/><c r="D41" s="283"/><c r="E41" s="283"/><c r="F41" s="283"/><c r="G41" s="283"/><c r="AA41" s="37"><v>0.1075</v></c><c r="AB41" s="106"><f>IFERROR(&apos;Property Calculator&apos;!$J$6-$AB$15*PMT(AA41/12,&apos;Property Calculator&apos;!$B$70*12,-1)*12-&apos;Property Calculator&apos;!$B$100*(&apos;Property Calculator&apos;!$J$6+&apos;Property Calculator&apos;!$B$87-($AB$15*(-CUMIPMT(AA41/12,&apos;Property Calculator&apos;!$B$70*12,1,1,12,0)))-&apos;Property Calculator&apos;!$B$99-&apos;Property Calculator&apos;!$B$101-&apos;Property Calculator&apos;!$B$58),NA())</f><v>-7665.0569954358143</v></c><c r="AC41" s="37"><f t="shared" si="0"/>&lt;v&gt;0&lt;/v&gt;&lt;/c&gt;&lt;/row&gt;&lt;row r=&quot;42&quot; spans=&quot;1:29&quot; x14ac:dyDescent=&quot;0.25&quot;&gt;&lt;c r=&quot;A42&quot; s=&quot;146&quot;/&gt;&lt;c r=&quot;B42&quot; s=&quot;146&quot;/&gt;&lt;c r=&quot;C42&quot; s=&quot;146&quot;/&gt;&lt;c r=&quot;D42&quot; s=&quot;146&quot;/&gt;&lt;c r=&quot;E42&quot; s=&quot;146&quot;/&gt;&lt;c r=&quot;F42&quot; s=&quot;146&quot;/&gt;&lt;c r=&quot;G42&quot; s=&quot;146&quot;/&gt;&lt;c r=&quot;AA42&quot; s=&quot;37&quot;&gt;&lt;v&gt;0.1125&lt;/v&gt;&lt;/c&gt;&lt;c r=&quot;AB42&quot; s=&quot;106&quot;&gt;&lt;f&gt;IFERROR(&apos;Property Calculator&apos;!$J$6-$AB$15*PMT(AA42/12,&apos;Property Calculator&apos;!$B$70*12,-1)*12-&apos;Property Calculator&apos;!$B$100*(&apos;Property Calculator&apos;!$J$6+&apos;Property Calculator&apos;!$B$87-($AB$15*(-CUMIPMT(AA42/12,&apos;Property Calculator&apos;!$B$70*12,1,1,12,0)))-&apos;Property Calculator&apos;!$B$99-&apos;Property Calculator&apos;!$B$101-&apos;Property Calculator&apos;!$B$58),NA())</f><v>-8438.1785784279855</v></c><c r="AC42" s="37"><f t="shared" si="0"/>&lt;v&gt;0&lt;/v&gt;&lt;/c&gt;&lt;/row&gt;&lt;row r=&quot;43&quot; spans=&quot;1:29&quot; x14ac:dyDescent=&quot;0.25&quot;&gt;&lt;c r=&quot;A43&quot; s=&quot;146&quot;/&gt;&lt;c r=&quot;B43&quot; s=&quot;146&quot;/&gt;&lt;c r=&quot;C43&quot; s=&quot;146&quot;/&gt;&lt;c r=&quot;D43&quot; s=&quot;146&quot;/&gt;&lt;c r=&quot;E43&quot; s=&quot;146&quot;/&gt;&lt;c r=&quot;F43&quot; s=&quot;146&quot;/&gt;&lt;c r=&quot;G43&quot; s=&quot;146&quot;/&gt;&lt;c r=&quot;AA43&quot; s=&quot;37&quot;&gt;&lt;v&gt;0.11749999999999999&lt;/v&gt;&lt;/c&gt;&lt;c r=&quot;AB43&quot; s=&quot;106&quot;&gt;&lt;f&gt;IFERROR(&apos;Property Calculator&apos;!$J$6-$AB$15*PMT(AA43/12,&apos;Property Calculator&apos;!$B$70*12,-1)*12-&apos;Property Calculator&apos;!$B$100*(&apos;Property Calculator&apos;!$J$6+&apos;Property Calculator&apos;!$B$87-($AB$15*(-CUMIPMT(AA43/12,&apos;Property Calculator&apos;!$B$70*12,1,1,12,0)))-&apos;Property Calculator&apos;!$B$99-&apos;Property Calculator&apos;!$B$101-&apos;Property Calculator&apos;!$B$58),NA())</f><v>-9225.4033561530705</v></c><c r="AC43" s="37"><f t="shared" si="0"/>&lt;v&gt;0&lt;/v&gt;&lt;/c&gt;&lt;/row&gt;&lt;row r=&quot;44&quot; spans=&quot;1:29&quot; x14ac:dyDescent=&quot;0.25&quot;&gt;&lt;c r=&quot;A44&quot; s=&quot;146&quot;/&gt;&lt;c r=&quot;B44&quot; s=&quot;146&quot;/&gt;&lt;c r=&quot;C44&quot; s=&quot;146&quot;/&gt;&lt;c r=&quot;D44&quot; s=&quot;146&quot;/&gt;&lt;c r=&quot;E44&quot; s=&quot;146&quot;/&gt;&lt;c r=&quot;F44&quot; s=&quot;146&quot;/&gt;&lt;c r=&quot;G44&quot; s=&quot;146&quot;/&gt;&lt;c r=&quot;AA44&quot; s=&quot;37&quot;&gt;&lt;v&gt;0.1225&lt;/v&gt;&lt;/c&gt;&lt;c r=&quot;AB44&quot; s=&quot;106&quot;&gt;&lt;f&gt;IFERROR(&apos;Property Calculator&apos;!$J$6-$AB$15*PMT(AA44/12,&apos;Property Calculator&apos;!$B$70*12,-1)*12-&apos;Property Calculator&apos;!$B$100*(&apos;Property Calculator&apos;!$J$6+&apos;Property Calculator&apos;!$B$87-($AB$15*(-CUMIPMT(AA44/12,&apos;Property Calculator&apos;!$B$70*12,1,1,12,0)))-&apos;Property Calculator&apos;!$B$99-&apos;Property Calculator&apos;!$B$101-&apos;Property Calculator&apos;!$B$58),NA())</f><v>-10025.600206902094</v></c><c r="AC44" s="37"><f t="shared" si="0"/>&lt;v&gt;0&lt;/v&gt;&lt;/c&gt;&lt;/row&gt;&lt;row r=&quot;45&quot; spans=&quot;1:29&quot; x14ac:dyDescent=&quot;0.25&quot;&gt;&lt;c r=&quot;A45&quot; s=&quot;146&quot;/&gt;&lt;c r=&quot;B45&quot; s=&quot;146&quot;/&gt;&lt;c r=&quot;C45&quot; s=&quot;146&quot;/&gt;&lt;c r=&quot;D45&quot; s=&quot;146&quot;/&gt;&lt;c r=&quot;E45&quot; s=&quot;146&quot;/&gt;&lt;c r=&quot;F45&quot; s=&quot;146&quot;/&gt;&lt;c r=&quot;G45&quot; s=&quot;146&quot;/&gt;&lt;c r=&quot;AA45&quot; s=&quot;37&quot;&gt;&lt;v&gt;0.1275&lt;/v&gt;&lt;/c&gt;&lt;c r=&quot;AB45&quot; s=&quot;106&quot;&gt;&lt;f&gt;IFERROR(&apos;Property Calculator&apos;!$J$6-$AB$15*PMT(AA45/12,&apos;Property Calculator&apos;!$B$70*12,-1)*12-&apos;Property Calculator&apos;!$B$100*(&apos;Property Calculator&apos;!$J$6+&apos;Property Calculator&apos;!$B$87-($AB$15*(-CUMIPMT(AA45/12,&apos;Property Calculator&apos;!$B$70*12,1,1,12,0)))-&apos;Property Calculator&apos;!$B$99-&apos;Property Calculator&apos;!$B$101-&apos;Property Calculator&apos;!$B$58),NA())</f><v>-10837.700258941037</v></c><c r="AC45" s="37"><f t="shared" si="0"/>&lt;v&gt;0&lt;/v&gt;&lt;/c&gt;&lt;/row&gt;&lt;row r=&quot;46&quot; spans=&quot;1:29&quot; x14ac:dyDescent=&quot;0.25&quot;&gt;&lt;c r=&quot;AA46&quot; s=&quot;37&quot;&gt;&lt;v&gt;0.13250000000000001&lt;/v&gt;&lt;/c&gt;&lt;c r=&quot;AB46&quot; s=&quot;106&quot;&gt;&lt;f&gt;IFERROR(&apos;Property Calculator&apos;!$J$6-$AB$15*PMT(AA46/12,&apos;Property Calculator&apos;!$B$70*12,-1)*12-&apos;Property Calculator&apos;!$B$100*(&apos;Property Calculator&apos;!$J$6+&apos;Property Calculator&apos;!$B$87-($AB$15*(-CUMIPMT(AA46/12,&apos;Property Calculator&apos;!$B$70*12,1,1,12,0)))-&apos;Property Calculator&apos;!$B$99-&apos;Property Calculator&apos;!$B$101-&apos;Property Calculator&apos;!$B$58),NA())</f><v>-11660.697849698397</v></c><c r="AC46" s="37"><f t="shared" si="0"/>&lt;v&gt;0&lt;/v&gt;&lt;/c&gt;&lt;/row&gt;&lt;row r=&quot;47&quot; spans=&quot;1:29&quot; x14ac:dyDescent=&quot;0.25&quot;&gt;&lt;c r=&quot;AA47&quot; s=&quot;37&quot;&gt;&lt;v&gt;0.13750000000000001&lt;/v&gt;&lt;/c&gt;&lt;c r=&quot;AB47&quot; s=&quot;106&quot;&gt;&lt;f&gt;IFERROR(&apos;Property Calculator&apos;!$J$6-$AB$15*PMT(AA47/12,&apos;Property Calculator&apos;!$B$70*12,-1)*12-&apos;Property Calculator&apos;!$B$100*(&apos;Property Calculator&apos;!$J$6+&apos;Property Calculator&apos;!$B$87-($AB$15*(-CUMIPMT(AA47/12,&apos;Property Calculator&apos;!$B$70*12,1,1,12,0)))-&apos;Property Calculator&apos;!$B$99-&apos;Property Calculator&apos;!$B$101-&apos;Property Calculator&apos;!$B$58),NA())</f><v>-12493.650632317826</v></c><c r="AC47" s="37"><f t="shared" si="0"/>&lt;v&gt;0&lt;/v&gt;&lt;/c&gt;&lt;/row&gt;&lt;row r=&quot;48&quot; spans=&quot;1:29&quot; x14ac:dyDescent=&quot;0.25&quot;&gt;&lt;c r=&quot;AA48&quot; s=&quot;37&quot;&gt;&lt;v&gt;0.14249999999999999&lt;/v&gt;&lt;/c&gt;&lt;c r=&quot;AB48&quot; s=&quot;106&quot;&gt;&lt;f&gt;IFERROR(&apos;Property Calculator&apos;!$J$6-$AB$15*PMT(AA48/12,&apos;Property Calculator&apos;!$B$70*12,-1)*12-&apos;Property Calculator&apos;!$B$100*(&apos;Property Calculator&apos;!$J$6+&apos;Property Calculator&apos;!$B$87-($AB$15*(-CUMIPMT(AA48/12,&apos;Property Calculator&apos;!$B$70*12,1,1,12,0)))-&apos;Property Calculator&apos;!$B$99-&apos;Property Calculator&apos;!$B$101-&apos;Property Calculator&apos;!$B$58),NA())</f><v>-13335.67895000655</v></c><c r="AC48" s="37"><f t="shared" si="0"/>&lt;v&gt;0&lt;/v&gt;&lt;/c&gt;&lt;/row&gt;&lt;row r=&quot;49&quot; spans=&quot;27:50&quot; x14ac:dyDescent=&quot;0.25&quot;&gt;&lt;c r=&quot;AA49&quot; s=&quot;37&quot;&gt;&lt;v&gt;0.14749999999999999&lt;/v&gt;&lt;/c&gt;&lt;c r=&quot;AB49&quot; s=&quot;106&quot;&gt;&lt;f&gt;IFERROR(&apos;Property Calculator&apos;!$J$6-$AB$15*PMT(AA49/12,&apos;Property Calculator&apos;!$B$70*12,-1)*12-&apos;Property Calculator&apos;!$B$100*(&apos;Property Calculator&apos;!$J$6+&apos;Property Calculator&apos;!$B$87-($AB$15*(-CUMIPMT(AA49/12,&apos;Property Calculator&apos;!$B$70*12,1,1,12,0)))-&apos;Property Calculator&apos;!$B$99-&apos;Property Calculator&apos;!$B$101-&apos;Property Calculator&apos;!$B$58),NA())</f><v>-14185.964594874888</v></c><c r="AC49" s="37"><f t="shared" si="0"/>&lt;v&gt;0&lt;/v&gt;&lt;/c&gt;&lt;/row&gt;&lt;row r=&quot;50&quot; spans=&quot;27:50&quot; x14ac:dyDescent=&quot;0.25&quot;&gt;&lt;c r=&quot;AA50&quot; s=&quot;37&quot;&gt;&lt;v&gt;0.1525&lt;/v&gt;&lt;/c&gt;&lt;c r=&quot;AB50&quot; s=&quot;106&quot;&gt;&lt;f&gt;IFERROR(&apos;Property Calculator&apos;!$J$6-$AB$15*PMT(AA50/12,&apos;Property Calculator&apos;!$B$70*12,-1)*12-&apos;Property Calculator&apos;!$B$100*(&apos;Property Calculator&apos;!$J$6+&apos;Property Calculator&apos;!$B$87-($AB$15*(-CUMIPMT(AA50/12,&apos;Property Calculator&apos;!$B$70*12,1,1,12,0)))-&apos;Property Calculator&apos;!$B$99-&apos;Property Calculator&apos;!$B$101-&apos;Property Calculator&apos;!$B$58),NA())</f><v>-15043.749061768121</v></c><c r="AC50" s="37"><f t="shared" si="0"/>&lt;v&gt;0&lt;/v&gt;&lt;/c&gt;&lt;/row&gt;&lt;row r=&quot;51&quot; spans=&quot;27:50&quot; x14ac:dyDescent=&quot;0.25&quot;&gt;&lt;c r=&quot;AA51&quot; s=&quot;37&quot;&gt;&lt;v&gt;0.1575&lt;/v&gt;&lt;/c&gt;&lt;c r=&quot;AB51&quot; s=&quot;106&quot;&gt;&lt;f&gt;IFERROR(&apos;Property Calculator&apos;!$J$6-$AB$15*PMT(AA51/12,&apos;Property Calculator&apos;!$B$70*12,-1)*12-&apos;Property Calculator&apos;!$B$100*(&apos;Property Calculator&apos;!$J$6+&apos;Property Calculator&apos;!$B$87-($AB$15*(-CUMIPMT(AA51/12,&apos;Property Calculator&apos;!$B$70*12,1,1,12,0)))-&apos;Property Calculator&apos;!$B$99-&apos;Property Calculator&apos;!$B$101-&apos;Property Calculator&apos;!$B$58),NA())</f><v>-15908.331399621024</v></c></row><row r="59" spans="27:50" x14ac:dyDescent="0.25"><c r="AE59" s="67" t="s"><v>172</v></c><c r="AF59" s="67" t="s"><v>272</v></c><c r="AG59" s="67" t="s"><v>273</v></c><c r="AH59" s="67" t="s"><v>13</v></c><c r="AI59" s="67" t="s"><v>274</v></c><c r="AJ59" s="67" t="s"><v>275</v></c><c r="AK59" s="67" t="s"><v>276</v></c><c r="AL59" s="67" t="s"><v>277</v></c><c r="AM59" s="67" t="s"><v>278</v></c><c r="AN59" s="67" t="s"><v>279</v></c><c r="AO59" s="67" t="s"><v>280</v></c><c r="AP59" s="67" t="s"><v>281</v></c><c r="AQ59" s="67" t="s"><v>282</v></c><c r="AR59" s="67" t="s"><v>283</v></c><c r="AS59" s="67" t="s"><v>284</v></c><c r="AT59" s="67" t="s"><v>285</v></c><c r="AU59" s="67" t="s"><v>286</v></c><c r="AV59" s="67" t="s"><v>287</v></c><c r="AW59" s="67" t="s"><v>288</v></c><c r="AX59" s="67" t="s"><v>289</v></c></row><row r="60" spans="27:50" x14ac:dyDescent="0.25"><c r="AE60" s="106"><v>200000</v></c><c r="AF60" s="106"><f t="shared" ref="AF60:AF90" si="2">$AE60*(1+$AB$7)+$AB$8</f><v>234840</v></c><c r="AG60" s="106"><f>MAX(0,AF60-&apos;Property Calculator&apos;!$B$63)</f><v>154840</v></c><c r="AH60" s="37"><f t="shared" ref="AH60:AH90" si="3">IF($AE60=0,0,AG60/$AE60)</f><v>0.7742</v></c><c r="AI60" s="106"><f>($AE60*(1+$AB$7)*&apos;Property Calculator&apos;!$B$96+&apos;Property Calculator&apos;!$B$59)*&apos;Property Calculator&apos;!$B$98</f><v>3490.2400000000002</v></c><c r="AJ60" s="106"><f>IF(AG60&lt;=0,0,PMT(&apos;Property Calculator&apos;!$B$65/12,&apos;Property Calculator&apos;!$B$70*12,-AG60)*12)</f><v>8343.6095352382054</v></c><c r="AK60" s="106"><f>-&apos;Property Calculator&apos;!$B$63</f><v>-80000</v></c><c r="AL60" s="106"><f>IF(1&gt;&apos;Property Calculator&apos;!$B$11,0,((&apos;Property Calculator&apos;!$B$82*(1+&apos;Property Calculator&apos;!$B$83)^0)-(&apos;Property Calculator&apos;!$B$93*(1+&apos;Property Calculator&apos;!$B$16)^0)-AJ60-&apos;Property Calculator&apos;!$B$100*((&apos;Property Calculator&apos;!$B$82*(1+&apos;Property Calculator&apos;!$B$83)^0)-(&apos;Property Calculator&apos;!$B$93*(1+&apos;Property Calculator&apos;!$B$16)^0)+(&apos;Property Calculator&apos;!$B$87*(1+&apos;Property Calculator&apos;!$B$16)^0)-(IF(AG60&lt;=0,0,IFERROR(-CUMIPMT(&apos;Property Calculator&apos;!$B$65/12,&apos;Property Calculator&apos;!$B$70*12,AG60,1,12,0),0)))-AI60-&apos;Property Calculator&apos;!$B$101-(IF(1=1,&apos;Property Calculator&apos;!$B$58,0))))+IF(1=&apos;Property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6472.5445942341348</v></c><c r="AM60" s="106"><f>IF(2&gt;&apos;Property Calculator&apos;!$B$11,0,((&apos;Property Calculator&apos;!$B$82*(1+&apos;Property Calculator&apos;!$B$83)^1)-(&apos;Property Calculator&apos;!$B$93*(1+&apos;Property Calculator&apos;!$B$16)^1)-AJ60-&apos;Property Calculator&apos;!$B$100*((&apos;Property Calculator&apos;!$B$82*(1+&apos;Property Calculator&apos;!$B$83)^1)-(&apos;Property Calculator&apos;!$B$93*(1+&apos;Property Calculator&apos;!$B$16)^1)+(&apos;Property Calculator&apos;!$B$87*(1+&apos;Property Calculator&apos;!$B$16)^1)-(IF(AG60&lt;=0,0,IFERROR(-CUMIPMT(&apos;Property Calculator&apos;!$B$65/12,&apos;Property Calculator&apos;!$B$70*12,AG60,13,24,0),0)))-AI60-&apos;Property Calculator&apos;!$B$101-(IF(2=1,&apos;Property Calculator&apos;!$B$58,0))))+IF(2=&apos;Property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211.80080778713278</v></c><c r="AN60" s="106"><f>IF(3&gt;&apos;Property Calculator&apos;!$B$11,0,((&apos;Property Calculator&apos;!$B$82*(1+&apos;Property Calculator&apos;!$B$83)^2)-(&apos;Property Calculator&apos;!$B$93*(1+&apos;Property Calculator&apos;!$B$16)^2)-AJ60-&apos;Property Calculator&apos;!$B$100*((&apos;Property Calculator&apos;!$B$82*(1+&apos;Property Calculator&apos;!$B$83)^2)-(&apos;Property Calculator&apos;!$B$93*(1+&apos;Property Calculator&apos;!$B$16)^2)+(&apos;Property Calculator&apos;!$B$87*(1+&apos;Property Calculator&apos;!$B$16)^1)-(IF(AG60&lt;=0,0,IFERROR(-CUMIPMT(&apos;Property Calculator&apos;!$B$65/12,&apos;Property Calculator&apos;!$B$70*12,AG60,25,36,0),0)))-AI60-&apos;Property Calculator&apos;!$B$101-(IF(3=1,&apos;Property Calculator&apos;!$B$58,0))))+IF(3=&apos;Property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259.49728189428725</v></c><c r="AO60" s="106"><f>IF(4&gt;&apos;Property Calculator&apos;!$B$11,0,((&apos;Property Calculator&apos;!$B$82*(1+&apos;Property Calculator&apos;!$B$83)^3)-(&apos;Property Calculator&apos;!$B$93*(1+&apos;Property Calculator&apos;!$B$16)^3)-AJ60-&apos;Property Calculator&apos;!$B$100*((&apos;Property Calculator&apos;!$B$82*(1+&apos;Property Calculator&apos;!$B$83)^3)-(&apos;Property Calculator&apos;!$B$93*(1+&apos;Property Calculator&apos;!$B$16)^3)+(&apos;Property Calculator&apos;!$B$87*(1+&apos;Property Calculator&apos;!$B$16)^1)-(IF(AG60&lt;=0,0,IFERROR(-CUMIPMT(&apos;Property Calculator&apos;!$B$65/12,&apos;Property Calculator&apos;!$B$70*12,AG60,37,48,0),0)))-AI60-&apos;Property Calculator&apos;!$B$101-(IF(4=1,&apos;Property Calculator&apos;!$B$58,0))))+IF(4=&apos;Property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307.20469826432873</v></c><c r="AP60" s="106"><f>IF(5&gt;&apos;Property Calculator&apos;!$B$11,0,((&apos;Property Calculator&apos;!$B$82*(1+&apos;Property Calculator&apos;!$B$83)^4)-(&apos;Property Calculator&apos;!$B$93*(1+&apos;Property Calculator&apos;!$B$16)^4)-AJ60-&apos;Property Calculator&apos;!$B$100*((&apos;Property Calculator&apos;!$B$82*(1+&apos;Property Calculator&apos;!$B$83)^4)-(&apos;Property Calculator&apos;!$B$93*(1+&apos;Property Calculator&apos;!$B$16)^4)+(&apos;Property Calculator&apos;!$B$87*(1+&apos;Property Calculator&apos;!$B$16)^1)-(IF(AG60&lt;=0,0,IFERROR(-CUMIPMT(&apos;Property Calculator&apos;!$B$65/12,&apos;Property Calculator&apos;!$B$70*12,AG60,49,60,0),0)))-AI60-&apos;Property Calculator&apos;!$B$101-(IF(5=1,&apos;Property Calculator&apos;!$B$58,0))))+IF(5=&apos;Property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354.89213944593473</v></c><c r="AQ60" s="106"><f>IF(6&gt;&apos;Property Calculator&apos;!$B$11,0,((&apos;Property Calculator&apos;!$B$82*(1+&apos;Property Calculator&apos;!$B$83)^5)-(&apos;Property Calculator&apos;!$B$93*(1+&apos;Property Calculator&apos;!$B$16)^5)-AJ60-&apos;Property Calculator&apos;!$B$100*((&apos;Property Calculator&apos;!$B$82*(1+&apos;Property Calculator&apos;!$B$83)^5)-(&apos;Property Calculator&apos;!$B$93*(1+&apos;Property Calculator&apos;!$B$16)^5)+(&apos;Property Calculator&apos;!$B$87*(1+&apos;Property Calculator&apos;!$B$16)^1)-(IF(AG60&lt;=0,0,IFERROR(-CUMIPMT(&apos;Property Calculator&apos;!$B$65/12,&apos;Property Calculator&apos;!$B$70*12,AG60,61,72,0),0)))-AI60-&apos;Property Calculator&apos;!$B$101-(IF(6=1,&apos;Property Calculator&apos;!$B$58,0))))+IF(6=&apos;Property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402.52702228769249</v></c><c r="AR60" s="106"><f>IF(7&gt;&apos;Property Calculator&apos;!$B$11,0,((&apos;Property Calculator&apos;!$B$82*(1+&apos;Property Calculator&apos;!$B$83)^6)-(&apos;Property Calculator&apos;!$B$93*(1+&apos;Property Calculator&apos;!$B$16)^6)-AJ60-&apos;Property Calculator&apos;!$B$100*((&apos;Property Calculator&apos;!$B$82*(1+&apos;Property Calculator&apos;!$B$83)^6)-(&apos;Property Calculator&apos;!$B$93*(1+&apos;Property Calculator&apos;!$B$16)^6)+(&apos;Property Calculator&apos;!$B$87*(1+&apos;Property Calculator&apos;!$B$16)^1)-(IF(AG60&lt;=0,0,IFERROR(-CUMIPMT(&apos;Property Calculator&apos;!$B$65/12,&apos;Property Calculator&apos;!$B$70*12,AG60,73,84,0),0)))-AI60-&apos;Property Calculator&apos;!$B$101-(IF(7=1,&apos;Property Calculator&apos;!$B$58,0))))+IF(7=&apos;Property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450.07502887482508</v></c><c r="AS60" s="106"><f>IF(8&gt;&apos;Property Calculator&apos;!$B$11,0,((&apos;Property Calculator&apos;!$B$82*(1+&apos;Property Calculator&apos;!$B$83)^7)-(&apos;Property Calculator&apos;!$B$93*(1+&apos;Property Calculator&apos;!$B$16)^7)-AJ60-&apos;Property Calculator&apos;!$B$100*((&apos;Property Calculator&apos;!$B$82*(1+&apos;Property Calculator&apos;!$B$83)^7)-(&apos;Property Calculator&apos;!$B$93*(1+&apos;Property Calculator&apos;!$B$16)^7)+(&apos;Property Calculator&apos;!$B$87*(1+&apos;Property Calculator&apos;!$B$16)^1)-(IF(AG60&lt;=0,0,IFERROR(-CUMIPMT(&apos;Property Calculator&apos;!$B$65/12,&apos;Property Calculator&apos;!$B$70*12,AG60,85,96,0),0)))-AI60-&apos;Property Calculator&apos;!$B$101-(IF(8=1,&apos;Property Calculator&apos;!$B$58,0))))+IF(8=&apos;Property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497.50003485068373</v></c><c r="AT60" s="106"><f>IF(9&gt;&apos;Property Calculator&apos;!$B$11,0,((&apos;Property Calculator&apos;!$B$82*(1+&apos;Property Calculator&apos;!$B$83)^8)-(&apos;Property Calculator&apos;!$B$93*(1+&apos;Property Calculator&apos;!$B$16)^8)-AJ60-&apos;Property Calculator&apos;!$B$100*((&apos;Property Calculator&apos;!$B$82*(1+&apos;Property Calculator&apos;!$B$83)^8)-(&apos;Property Calculator&apos;!$B$93*(1+&apos;Property Calculator&apos;!$B$16)^8)+(&apos;Property Calculator&apos;!$B$87*(1+&apos;Property Calculator&apos;!$B$16)^1)-(IF(AG60&lt;=0,0,IFERROR(-CUMIPMT(&apos;Property Calculator&apos;!$B$65/12,&apos;Property Calculator&apos;!$B$70*12,AG60,97,108,0),0)))-AI60-&apos;Property Calculator&apos;!$B$101-(IF(9=1,&apos;Property Calculator&apos;!$B$58,0))))+IF(9=&apos;Property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544.76403502779772</v></c><c r="AU60" s="106"><f>IF(10&gt;&apos;Property Calculator&apos;!$B$11,0,((&apos;Property Calculator&apos;!$B$82*(1+&apos;Property Calculator&apos;!$B$83)^9)-(&apos;Property Calculator&apos;!$B$93*(1+&apos;Property Calculator&apos;!$B$16)^9)-AJ60-&apos;Property Calculator&apos;!$B$100*((&apos;Property Calculator&apos;!$B$82*(1+&apos;Property Calculator&apos;!$B$83)^9)-(&apos;Property Calculator&apos;!$B$93*(1+&apos;Property Calculator&apos;!$B$16)^9)+(&apos;Property Calculator&apos;!$B$87*(1+&apos;Property Calculator&apos;!$B$16)^1)-(IF(AG60&lt;=0,0,IFERROR(-CUMIPMT(&apos;Property Calculator&apos;!$B$65/12,&apos;Property Calculator&apos;!$B$70*12,AG60,109,120,0),0)))-AI60-&apos;Property Calculator&apos;!$B$101-(IF(10=1,&apos;Property Calculator&apos;!$B$58,0))))+IF(10=&apos;Property Calculator&apos;!$B$11,($AE60*(1+&apos;Property Calculator&apos;!$B$12)^&apos;Property Calculator&apos;!$B$11)-(($AE60*(1+&apos;Property Calculator&apos;!$B$12)^&apos;Property Calculator&apos;!$B$11)*&apos;Exit Analysis&apos;!$B$5)-(IF(&apos;Property Calculator&apos;!$B$11&lt;10,MAX(0,($AE60*(1+&apos;Property Calculator&apos;!$B$12)^&apos;Property Calculator&apos;!$B$11)-($AE60*(1+$AB$7))+&apos;Property Calculator&apos;!$B$11*AI60-(($AE60*(1+&apos;Property Calculator&apos;!$B$12)^&apos;Property Calculator&apos;!$B$11)*&apos;Exit Analysis&apos;!$B$5))*&apos;Property Calculator&apos;!$B$100,0))-(IF(OR(AG60&lt;=0,&apos;Property Calculator&apos;!$B$11&gt;=&apos;Property Calculator&apos;!$B$70),0,IFERROR(PV(&apos;Property Calculator&apos;!$B$65/12,&apos;Property Calculator&apos;!$B$70*12-&apos;Property Calculator&apos;!$B$11*12,-AJ60/12),0))),0))</f><v>123920.11670203575</v></c><c r="AV60" s="37"><f>IFERROR(XIRR(AK60:AU60,&apos;Return Details&apos;!$L$4:$L$14),&quot;—&quot;)</f><v>5.6215783953666679E-2</v></c><c r="AW60" s="106"><f>IF(AND(ISNUMBER(AV60),AV60&gt;=$B$37,AL60&gt;=$B$38,AH60&lt;=$B$39,AF60&gt;&apos;Property Calculator&apos;!$B$63),AE60,0)</f><v>0</v></c><c r="AX60" s="106"><f t="shared" ref="AX60:AX89" si="4">IF(AND(AW60&gt;0,AW61=0,ISNUMBER(AV60),ISNUMBER(AV61),AV60&gt;=$B$37,AV61&lt;$B$37),AE60+(AE61-AE60)*($B$37-AV60)/(AV61-AV60),IF(AND(AW60&gt;0,AW61=0),AE60,0))</f><v>0</v></c></row><row r="61" spans="27:50" x14ac:dyDescent="0.25"><c r="AE61" s="106"><v>210000</v></c><c r="AF61" s="106"><f t="shared" si="2"/>&lt;v&gt;245747&lt;/v&gt;&lt;/c&gt;&lt;c r=&quot;AG61&quot; s=&quot;106&quot;&gt;&lt;f&gt;MAX(0,AF61-&apos;Property Calculator&apos;!$B$63)</f><v>165747</v></c><c r="AH61" s="37"><f t="shared" si="3"/>&lt;v&gt;0.78927142857142862&lt;/v&gt;&lt;/c&gt;&lt;c r=&quot;AI61&quot; s=&quot;106&quot;&gt;&lt;f&gt;($AE61*(1+$AB$7)*&apos;Property Calculator&apos;!$B$96+&apos;Property Calculator&apos;!$B$59)*&apos;Property Calculator&apos;!$B$98</f><v>3664.7520000000004</v></c><c r="AJ61" s="106"><f>IF(AG61&lt;=0,0,PMT(&apos;Property Calculator&apos;!$B$65/12,&apos;Property Calculator&apos;!$B$70*12,-AG61)*12)</f><v>8931.3371844299072</v></c><c r="AK61" s="106"><f>-&apos;Property Calculator&apos;!$B$63</f><v>-80000</v></c><c r="AL61" s="106"><f>IF(1&gt;&apos;Property Calculator&apos;!$B$11,0,((&apos;Property Calculator&apos;!$B$82*(1+&apos;Property Calculator&apos;!$B$83)^0)-(&apos;Property Calculator&apos;!$B$93*(1+&apos;Property Calculator&apos;!$B$16)^0)-AJ61-&apos;Property Calculator&apos;!$B$100*((&apos;Property Calculator&apos;!$B$82*(1+&apos;Property Calculator&apos;!$B$83)^0)-(&apos;Property Calculator&apos;!$B$93*(1+&apos;Property Calculator&apos;!$B$16)^0)+(&apos;Property Calculator&apos;!$B$87*(1+&apos;Property Calculator&apos;!$B$16)^0)-(IF(AG61&lt;=0,0,IFERROR(-CUMIPMT(&apos;Property Calculator&apos;!$B$65/12,&apos;Property Calculator&apos;!$B$70*12,AG61,1,12,0),0)))-AI61-&apos;Property Calculator&apos;!$B$101-(IF(1=1,&apos;Property Calculator&apos;!$B$58,0))))+IF(1=&apos;Property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6117.043495405097</v></c><c r="AM61" s="106"><f>IF(2&gt;&apos;Property Calculator&apos;!$B$11,0,((&apos;Property Calculator&apos;!$B$82*(1+&apos;Property Calculator&apos;!$B$83)^1)-(&apos;Property Calculator&apos;!$B$93*(1+&apos;Property Calculator&apos;!$B$16)^1)-AJ61-&apos;Property Calculator&apos;!$B$100*((&apos;Property Calculator&apos;!$B$82*(1+&apos;Property Calculator&apos;!$B$83)^1)-(&apos;Property Calculator&apos;!$B$93*(1+&apos;Property Calculator&apos;!$B$16)^1)+(&apos;Property Calculator&apos;!$B$87*(1+&apos;Property Calculator&apos;!$B$16)^1)-(IF(AG61&lt;=0,0,IFERROR(-CUMIPMT(&apos;Property Calculator&apos;!$B$65/12,&apos;Property Calculator&apos;!$B$70*12,AG61,13,24,0),0)))-AI61-&apos;Property Calculator&apos;!$B$101-(IF(2=1,&apos;Property Calculator&apos;!$B$58,0))))+IF(2=&apos;Property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-146.82712778162016</v></c><c r="AN61" s="106"><f>IF(3&gt;&apos;Property Calculator&apos;!$B$11,0,((&apos;Property Calculator&apos;!$B$82*(1+&apos;Property Calculator&apos;!$B$83)^2)-(&apos;Property Calculator&apos;!$B$93*(1+&apos;Property Calculator&apos;!$B$16)^2)-AJ61-&apos;Property Calculator&apos;!$B$100*((&apos;Property Calculator&apos;!$B$82*(1+&apos;Property Calculator&apos;!$B$83)^2)-(&apos;Property Calculator&apos;!$B$93*(1+&apos;Property Calculator&apos;!$B$16)^2)+(&apos;Property Calculator&apos;!$B$87*(1+&apos;Property Calculator&apos;!$B$16)^1)-(IF(AG61&lt;=0,0,IFERROR(-CUMIPMT(&apos;Property Calculator&apos;!$B$65/12,&apos;Property Calculator&apos;!$B$70*12,AG61,25,36,0),0)))-AI61-&apos;Property Calculator&apos;!$B$101-(IF(3=1,&apos;Property Calculator&apos;!$B$58,0))))+IF(3=&apos;Property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-102.36870246937229</v></c><c r="AO61" s="106"><f>IF(4&gt;&apos;Property Calculator&apos;!$B$11,0,((&apos;Property Calculator&apos;!$B$82*(1+&apos;Property Calculator&apos;!$B$83)^3)-(&apos;Property Calculator&apos;!$B$93*(1+&apos;Property Calculator&apos;!$B$16)^3)-AJ61-&apos;Property Calculator&apos;!$B$100*((&apos;Property Calculator&apos;!$B$82*(1+&apos;Property Calculator&apos;!$B$83)^3)-(&apos;Property Calculator&apos;!$B$93*(1+&apos;Property Calculator&apos;!$B$16)^3)+(&apos;Property Calculator&apos;!$B$87*(1+&apos;Property Calculator&apos;!$B$16)^1)-(IF(AG61&lt;=0,0,IFERROR(-CUMIPMT(&apos;Property Calculator&apos;!$B$65/12,&apos;Property Calculator&apos;!$B$70*12,AG61,37,48,0),0)))-AI61-&apos;Property Calculator&apos;!$B$101-(IF(4=1,&apos;Property Calculator&apos;!$B$58,0))))+IF(4=&apos;Property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-58.014502423361591</v></c><c r="AP61" s="106"><f>IF(5&gt;&apos;Property Calculator&apos;!$B$11,0,((&apos;Property Calculator&apos;!$B$82*(1+&apos;Property Calculator&apos;!$B$83)^4)-(&apos;Property Calculator&apos;!$B$93*(1+&apos;Property Calculator&apos;!$B$16)^4)-AJ61-&apos;Property Calculator&apos;!$B$100*((&apos;Property Calculator&apos;!$B$82*(1+&apos;Property Calculator&apos;!$B$83)^4)-(&apos;Property Calculator&apos;!$B$93*(1+&apos;Property Calculator&apos;!$B$16)^4)+(&apos;Property Calculator&apos;!$B$87*(1+&apos;Property Calculator&apos;!$B$16)^1)-(IF(AG61&lt;=0,0,IFERROR(-CUMIPMT(&apos;Property Calculator&apos;!$B$65/12,&apos;Property Calculator&apos;!$B$70*12,AG61,49,60,0),0)))-AI61-&apos;Property Calculator&apos;!$B$101-(IF(5=1,&apos;Property Calculator&apos;!$B$58,0))))+IF(5=&apos;Property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-13.799541253001848</v></c><c r="AQ61" s="106"><f>IF(6&gt;&apos;Property Calculator&apos;!$B$11,0,((&apos;Property Calculator&apos;!$B$82*(1+&apos;Property Calculator&apos;!$B$83)^5)-(&apos;Property Calculator&apos;!$B$93*(1+&apos;Property Calculator&apos;!$B$16)^5)-AJ61-&apos;Property Calculator&apos;!$B$100*((&apos;Property Calculator&apos;!$B$82*(1+&apos;Property Calculator&apos;!$B$83)^5)-(&apos;Property Calculator&apos;!$B$93*(1+&apos;Property Calculator&apos;!$B$16)^5)+(&apos;Property Calculator&apos;!$B$87*(1+&apos;Property Calculator&apos;!$B$16)^1)-(IF(AG61&lt;=0,0,IFERROR(-CUMIPMT(&apos;Property Calculator&apos;!$B$65/12,&apos;Property Calculator&apos;!$B$70*12,AG61,61,72,0),0)))-AI61-&apos;Property Calculator&apos;!$B$101-(IF(6=1,&apos;Property Calculator&apos;!$B$58,0))))+IF(6=&apos;Property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30.239356044344504</v></c><c r="AR61" s="106"><f>IF(7&gt;&apos;Property Calculator&apos;!$B$11,0,((&apos;Property Calculator&apos;!$B$82*(1+&apos;Property Calculator&apos;!$B$83)^6)-(&apos;Property Calculator&apos;!$B$93*(1+&apos;Property Calculator&apos;!$B$16)^6)-AJ61-&apos;Property Calculator&apos;!$B$100*((&apos;Property Calculator&apos;!$B$82*(1+&apos;Property Calculator&apos;!$B$83)^6)-(&apos;Property Calculator&apos;!$B$93*(1+&apos;Property Calculator&apos;!$B$16)^6)+(&apos;Property Calculator&apos;!$B$87*(1+&apos;Property Calculator&apos;!$B$16)^1)-(IF(AG61&lt;=0,0,IFERROR(-CUMIPMT(&apos;Property Calculator&apos;!$B$65/12,&apos;Property Calculator&apos;!$B$70*12,AG61,73,84,0),0)))-AI61-&apos;Property Calculator&apos;!$B$101-(IF(7=1,&apos;Property Calculator&apos;!$B$58,0))))+IF(7=&apos;Property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74.063478838413516</v></c><c r="AS61" s="106"><f>IF(8&gt;&apos;Property Calculator&apos;!$B$11,0,((&apos;Property Calculator&apos;!$B$82*(1+&apos;Property Calculator&apos;!$B$83)^7)-(&apos;Property Calculator&apos;!$B$93*(1+&apos;Property Calculator&apos;!$B$16)^7)-AJ61-&apos;Property Calculator&apos;!$B$100*((&apos;Property Calculator&apos;!$B$82*(1+&apos;Property Calculator&apos;!$B$83)^7)-(&apos;Property Calculator&apos;!$B$93*(1+&apos;Property Calculator&apos;!$B$16)^7)+(&apos;Property Calculator&apos;!$B$87*(1+&apos;Property Calculator&apos;!$B$16)^1)-(IF(AG61&lt;=0,0,IFERROR(-CUMIPMT(&apos;Property Calculator&apos;!$B$65/12,&apos;Property Calculator&apos;!$B$70*12,AG61,85,96,0),0)))-AI61-&apos;Property Calculator&apos;!$B$101-(IF(8=1,&apos;Property Calculator&apos;!$B$58,0))))+IF(8=&apos;Property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117.63215382156409</v></c><c r="AT61" s="106"><f>IF(9&gt;&apos;Property Calculator&apos;!$B$11,0,((&apos;Property Calculator&apos;!$B$82*(1+&apos;Property Calculator&apos;!$B$83)^8)-(&apos;Property Calculator&apos;!$B$93*(1+&apos;Property Calculator&apos;!$B$16)^8)-AJ61-&apos;Property Calculator&apos;!$B$100*((&apos;Property Calculator&apos;!$B$82*(1+&apos;Property Calculator&apos;!$B$83)^8)-(&apos;Property Calculator&apos;!$B$93*(1+&apos;Property Calculator&apos;!$B$16)^8)+(&apos;Property Calculator&apos;!$B$87*(1+&apos;Property Calculator&apos;!$B$16)^1)-(IF(AG61&lt;=0,0,IFERROR(-CUMIPMT(&apos;Property Calculator&apos;!$B$65/12,&apos;Property Calculator&apos;!$B$70*12,AG61,97,108,0),0)))-AI61-&apos;Property Calculator&apos;!$B$101-(IF(9=1,&apos;Property Calculator&apos;!$B$58,0))))+IF(9=&apos;Property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160.90266506300816</v></c><c r="AU61" s="106"><f>IF(10&gt;&apos;Property Calculator&apos;!$B$11,0,((&apos;Property Calculator&apos;!$B$82*(1+&apos;Property Calculator&apos;!$B$83)^9)-(&apos;Property Calculator&apos;!$B$93*(1+&apos;Property Calculator&apos;!$B$16)^9)-AJ61-&apos;Property Calculator&apos;!$B$100*((&apos;Property Calculator&apos;!$B$82*(1+&apos;Property Calculator&apos;!$B$83)^9)-(&apos;Property Calculator&apos;!$B$93*(1+&apos;Property Calculator&apos;!$B$16)^9)+(&apos;Property Calculator&apos;!$B$87*(1+&apos;Property Calculator&apos;!$B$16)^1)-(IF(AG61&lt;=0,0,IFERROR(-CUMIPMT(&apos;Property Calculator&apos;!$B$65/12,&apos;Property Calculator&apos;!$B$70*12,AG61,109,120,0),0)))-AI61-&apos;Property Calculator&apos;!$B$101-(IF(10=1,&apos;Property Calculator&apos;!$B$58,0))))+IF(10=&apos;Property Calculator&apos;!$B$11,($AE61*(1+&apos;Property Calculator&apos;!$B$12)^&apos;Property Calculator&apos;!$B$11)-(($AE61*(1+&apos;Property Calculator&apos;!$B$12)^&apos;Property Calculator&apos;!$B$11)*&apos;Exit Analysis&apos;!$B$5)-(IF(&apos;Property Calculator&apos;!$B$11&lt;10,MAX(0,($AE61*(1+&apos;Property Calculator&apos;!$B$12)^&apos;Property Calculator&apos;!$B$11)-($AE61*(1+$AB$7))+&apos;Property Calculator&apos;!$B$11*AI61-(($AE61*(1+&apos;Property Calculator&apos;!$B$12)^&apos;Property Calculator&apos;!$B$11)*&apos;Exit Analysis&apos;!$B$5))*&apos;Property Calculator&apos;!$B$100,0))-(IF(OR(AG61&lt;=0,&apos;Property Calculator&apos;!$B$11&gt;=&apos;Property Calculator&apos;!$B$70),0,IFERROR(PV(&apos;Property Calculator&apos;!$B$65/12,&apos;Property Calculator&apos;!$B$70*12-&apos;Property Calculator&apos;!$B$11*12,-AJ61/12),0))),0))</f><v>127247.97368449006</v></c><c r="AV61" s="37"><f>IFERROR(XIRR(AK61:AU61,&apos;Return Details&apos;!$L$4:$L$14),&quot;—&quot;)</f><v>5.5342116951942438E-2</v></c><c r="AW61" s="106"><f>IF(AND(ISNUMBER(AV61),AV61&gt;=$B$37,AL61&gt;=$B$38,AH61&lt;=$B$39,AF61&gt;&apos;Property Calculator&apos;!$B$63),AE61,0)</f><v>0</v></c><c r="AX61" s="106"><f t="shared" si="4"/>&lt;v&gt;0&lt;/v&gt;&lt;/c&gt;&lt;/row&gt;&lt;row r=&quot;62&quot; spans=&quot;27:50&quot; x14ac:dyDescent=&quot;0.25&quot;&gt;&lt;c r=&quot;AE62&quot; s=&quot;106&quot;&gt;&lt;v&gt;220000&lt;/v&gt;&lt;/c&gt;&lt;c r=&quot;AF62&quot; s=&quot;106&quot;&gt;&lt;f t=&quot;shared&quot; si=&quot;2&quot;/&gt;&lt;v&gt;256654&lt;/v&gt;&lt;/c&gt;&lt;c r=&quot;AG62&quot; s=&quot;106&quot;&gt;&lt;f&gt;MAX(0,AF62-&apos;Property Calculator&apos;!$B$63)</f><v>176654</v></c><c r="AH62" s="37"><f t="shared" si="3"/>&lt;v&gt;0.80297272727272728&lt;/v&gt;&lt;/c&gt;&lt;c r=&quot;AI62&quot; s=&quot;106&quot;&gt;&lt;f&gt;($AE62*(1+$AB$7)*&apos;Property Calculator&apos;!$B$96+&apos;Property Calculator&apos;!$B$59)*&apos;Property Calculator&apos;!$B$98</f><v>3839.2640000000001</v></c><c r="AJ62" s="106"><f>IF(AG62&lt;=0,0,PMT(&apos;Property Calculator&apos;!$B$65/12,&apos;Property Calculator&apos;!$B$70*12,-AG62)*12)</f><v>9519.0648336216109</v></c><c r="AK62" s="106"><f>-&apos;Property Calculator&apos;!$B$63</f><v>-80000</v></c><c r="AL62" s="106"><f>IF(1&gt;&apos;Property Calculator&apos;!$B$11,0,((&apos;Property Calculator&apos;!$B$82*(1+&apos;Property Calculator&apos;!$B$83)^0)-(&apos;Property Calculator&apos;!$B$93*(1+&apos;Property Calculator&apos;!$B$16)^0)-AJ62-&apos;Property Calculator&apos;!$B$100*((&apos;Property Calculator&apos;!$B$82*(1+&apos;Property Calculator&apos;!$B$83)^0)-(&apos;Property Calculator&apos;!$B$93*(1+&apos;Property Calculator&apos;!$B$16)^0)+(&apos;Property Calculator&apos;!$B$87*(1+&apos;Property Calculator&apos;!$B$16)^0)-(IF(AG62&lt;=0,0,IFERROR(-CUMIPMT(&apos;Property Calculator&apos;!$B$65/12,&apos;Property Calculator&apos;!$B$70*12,AG62,1,12,0),0)))-AI62-&apos;Property Calculator&apos;!$B$101-(IF(1=1,&apos;Property Calculator&apos;!$B$58,0))))+IF(1=&apos;Property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5761.5423965760565</v></c><c r="AM62" s="106"><f>IF(2&gt;&apos;Property Calculator&apos;!$B$11,0,((&apos;Property Calculator&apos;!$B$82*(1+&apos;Property Calculator&apos;!$B$83)^1)-(&apos;Property Calculator&apos;!$B$93*(1+&apos;Property Calculator&apos;!$B$16)^1)-AJ62-&apos;Property Calculator&apos;!$B$100*((&apos;Property Calculator&apos;!$B$82*(1+&apos;Property Calculator&apos;!$B$83)^1)-(&apos;Property Calculator&apos;!$B$93*(1+&apos;Property Calculator&apos;!$B$16)^1)+(&apos;Property Calculator&apos;!$B$87*(1+&apos;Property Calculator&apos;!$B$16)^1)-(IF(AG62&lt;=0,0,IFERROR(-CUMIPMT(&apos;Property Calculator&apos;!$B$65/12,&apos;Property Calculator&apos;!$B$70*12,AG62,13,24,0),0)))-AI62-&apos;Property Calculator&apos;!$B$101-(IF(2=1,&apos;Property Calculator&apos;!$B$58,0))))+IF(2=&apos;Property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-505.45506335037436</v></c><c r="AN62" s="106"><f>IF(3&gt;&apos;Property Calculator&apos;!$B$11,0,((&apos;Property Calculator&apos;!$B$82*(1+&apos;Property Calculator&apos;!$B$83)^2)-(&apos;Property Calculator&apos;!$B$93*(1+&apos;Property Calculator&apos;!$B$16)^2)-AJ62-&apos;Property Calculator&apos;!$B$100*((&apos;Property Calculator&apos;!$B$82*(1+&apos;Property Calculator&apos;!$B$83)^2)-(&apos;Property Calculator&apos;!$B$93*(1+&apos;Property Calculator&apos;!$B$16)^2)+(&apos;Property Calculator&apos;!$B$87*(1+&apos;Property Calculator&apos;!$B$16)^1)-(IF(AG62&lt;=0,0,IFERROR(-CUMIPMT(&apos;Property Calculator&apos;!$B$65/12,&apos;Property Calculator&apos;!$B$70*12,AG62,25,36,0),0)))-AI62-&apos;Property Calculator&apos;!$B$101-(IF(3=1,&apos;Property Calculator&apos;!$B$58,0))))+IF(3=&apos;Property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-464.2346868330327</v></c><c r="AO62" s="106"><f>IF(4&gt;&apos;Property Calculator&apos;!$B$11,0,((&apos;Property Calculator&apos;!$B$82*(1+&apos;Property Calculator&apos;!$B$83)^3)-(&apos;Property Calculator&apos;!$B$93*(1+&apos;Property Calculator&apos;!$B$16)^3)-AJ62-&apos;Property Calculator&apos;!$B$100*((&apos;Property Calculator&apos;!$B$82*(1+&apos;Property Calculator&apos;!$B$83)^3)-(&apos;Property Calculator&apos;!$B$93*(1+&apos;Property Calculator&apos;!$B$16)^3)+(&apos;Property Calculator&apos;!$B$87*(1+&apos;Property Calculator&apos;!$B$16)^1)-(IF(AG62&lt;=0,0,IFERROR(-CUMIPMT(&apos;Property Calculator&apos;!$B$65/12,&apos;Property Calculator&apos;!$B$70*12,AG62,37,48,0),0)))-AI62-&apos;Property Calculator&apos;!$B$101-(IF(4=1,&apos;Property Calculator&apos;!$B$58,0))))+IF(4=&apos;Property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-423.23370311105322</v></c><c r="AP62" s="106"><f>IF(5&gt;&apos;Property Calculator&apos;!$B$11,0,((&apos;Property Calculator&apos;!$B$82*(1+&apos;Property Calculator&apos;!$B$83)^4)-(&apos;Property Calculator&apos;!$B$93*(1+&apos;Property Calculator&apos;!$B$16)^4)-AJ62-&apos;Property Calculator&apos;!$B$100*((&apos;Property Calculator&apos;!$B$82*(1+&apos;Property Calculator&apos;!$B$83)^4)-(&apos;Property Calculator&apos;!$B$93*(1+&apos;Property Calculator&apos;!$B$16)^4)+(&apos;Property Calculator&apos;!$B$87*(1+&apos;Property Calculator&apos;!$B$16)^1)-(IF(AG62&lt;=0,0,IFERROR(-CUMIPMT(&apos;Property Calculator&apos;!$B$65/12,&apos;Property Calculator&apos;!$B$70*12,AG62,49,60,0),0)))-AI62-&apos;Property Calculator&apos;!$B$101-(IF(5=1,&apos;Property Calculator&apos;!$B$58,0))))+IF(5=&apos;Property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-382.49122195193928</v></c><c r="AQ62" s="106"><f>IF(6&gt;&apos;Property Calculator&apos;!$B$11,0,((&apos;Property Calculator&apos;!$B$82*(1+&apos;Property Calculator&apos;!$B$83)^5)-(&apos;Property Calculator&apos;!$B$93*(1+&apos;Property Calculator&apos;!$B$16)^5)-AJ62-&apos;Property Calculator&apos;!$B$100*((&apos;Property Calculator&apos;!$B$82*(1+&apos;Property Calculator&apos;!$B$83)^5)-(&apos;Property Calculator&apos;!$B$93*(1+&apos;Property Calculator&apos;!$B$16)^5)+(&apos;Property Calculator&apos;!$B$87*(1+&apos;Property Calculator&apos;!$B$16)^1)-(IF(AG62&lt;=0,0,IFERROR(-CUMIPMT(&apos;Property Calculator&apos;!$B$65/12,&apos;Property Calculator&apos;!$B$70*12,AG62,61,72,0),0)))-AI62-&apos;Property Calculator&apos;!$B$101-(IF(6=1,&apos;Property Calculator&apos;!$B$58,0))))+IF(6=&apos;Property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-342.04831019900439</v></c><c r="AR62" s="106"><f>IF(7&gt;&apos;Property Calculator&apos;!$B$11,0,((&apos;Property Calculator&apos;!$B$82*(1+&apos;Property Calculator&apos;!$B$83)^6)-(&apos;Property Calculator&apos;!$B$93*(1+&apos;Property Calculator&apos;!$B$16)^6)-AJ62-&apos;Property Calculator&apos;!$B$100*((&apos;Property Calculator&apos;!$B$82*(1+&apos;Property Calculator&apos;!$B$83)^6)-(&apos;Property Calculator&apos;!$B$93*(1+&apos;Property Calculator&apos;!$B$16)^6)+(&apos;Property Calculator&apos;!$B$87*(1+&apos;Property Calculator&apos;!$B$16)^1)-(IF(AG62&lt;=0,0,IFERROR(-CUMIPMT(&apos;Property Calculator&apos;!$B$65/12,&apos;Property Calculator&apos;!$B$70*12,AG62,73,84,0),0)))-AI62-&apos;Property Calculator&apos;!$B$101-(IF(7=1,&apos;Property Calculator&apos;!$B$58,0))))+IF(7=&apos;Property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-301.94807119800004</v></c><c r="AS62" s="106"><f>IF(8&gt;&apos;Property Calculator&apos;!$B$11,0,((&apos;Property Calculator&apos;!$B$82*(1+&apos;Property Calculator&apos;!$B$83)^7)-(&apos;Property Calculator&apos;!$B$93*(1+&apos;Property Calculator&apos;!$B$16)^7)-AJ62-&apos;Property Calculator&apos;!$B$100*((&apos;Property Calculator&apos;!$B$82*(1+&apos;Property Calculator&apos;!$B$83)^7)-(&apos;Property Calculator&apos;!$B$93*(1+&apos;Property Calculator&apos;!$B$16)^7)+(&apos;Property Calculator&apos;!$B$87*(1+&apos;Property Calculator&apos;!$B$16)^1)-(IF(AG62&lt;=0,0,IFERROR(-CUMIPMT(&apos;Property Calculator&apos;!$B$65/12,&apos;Property Calculator&apos;!$B$70*12,AG62,85,96,0),0)))-AI62-&apos;Property Calculator&apos;!$B$101-(IF(8=1,&apos;Property Calculator&apos;!$B$58,0))))+IF(8=&apos;Property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-262.23572720755737</v></c><c r="AT62" s="106"><f>IF(9&gt;&apos;Property Calculator&apos;!$B$11,0,((&apos;Property Calculator&apos;!$B$82*(1+&apos;Property Calculator&apos;!$B$83)^8)-(&apos;Property Calculator&apos;!$B$93*(1+&apos;Property Calculator&apos;!$B$16)^8)-AJ62-&apos;Property Calculator&apos;!$B$100*((&apos;Property Calculator&apos;!$B$82*(1+&apos;Property Calculator&apos;!$B$83)^8)-(&apos;Property Calculator&apos;!$B$93*(1+&apos;Property Calculator&apos;!$B$16)^8)+(&apos;Property Calculator&apos;!$B$87*(1+&apos;Property Calculator&apos;!$B$16)^1)-(IF(AG62&lt;=0,0,IFERROR(-CUMIPMT(&apos;Property Calculator&apos;!$B$65/12,&apos;Property Calculator&apos;!$B$70*12,AG62,97,108,0),0)))-AI62-&apos;Property Calculator&apos;!$B$101-(IF(9=1,&apos;Property Calculator&apos;!$B$58,0))))+IF(9=&apos;Property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-222.95870490178299</v></c><c r="AU62" s="106"><f>IF(10&gt;&apos;Property Calculator&apos;!$B$11,0,((&apos;Property Calculator&apos;!$B$82*(1+&apos;Property Calculator&apos;!$B$83)^9)-(&apos;Property Calculator&apos;!$B$93*(1+&apos;Property Calculator&apos;!$B$16)^9)-AJ62-&apos;Property Calculator&apos;!$B$100*((&apos;Property Calculator&apos;!$B$82*(1+&apos;Property Calculator&apos;!$B$83)^9)-(&apos;Property Calculator&apos;!$B$93*(1+&apos;Property Calculator&apos;!$B$16)^9)+(&apos;Property Calculator&apos;!$B$87*(1+&apos;Property Calculator&apos;!$B$16)^1)-(IF(AG62&lt;=0,0,IFERROR(-CUMIPMT(&apos;Property Calculator&apos;!$B$65/12,&apos;Property Calculator&apos;!$B$70*12,AG62,109,120,0),0)))-AI62-&apos;Property Calculator&apos;!$B$101-(IF(10=1,&apos;Property Calculator&apos;!$B$58,0))))+IF(10=&apos;Property Calculator&apos;!$B$11,($AE62*(1+&apos;Property Calculator&apos;!$B$12)^&apos;Property Calculator&apos;!$B$11)-(($AE62*(1+&apos;Property Calculator&apos;!$B$12)^&apos;Property Calculator&apos;!$B$11)*&apos;Exit Analysis&apos;!$B$5)-(IF(&apos;Property Calculator&apos;!$B$11&lt;10,MAX(0,($AE62*(1+&apos;Property Calculator&apos;!$B$12)^&apos;Property Calculator&apos;!$B$11)-($AE62*(1+$AB$7))+&apos;Property Calculator&apos;!$B$11*AI62-(($AE62*(1+&apos;Property Calculator&apos;!$B$12)^&apos;Property Calculator&apos;!$B$11)*&apos;Exit Analysis&apos;!$B$5))*&apos;Property Calculator&apos;!$B$100,0))-(IF(OR(AG62&lt;=0,&apos;Property Calculator&apos;!$B$11&gt;=&apos;Property Calculator&apos;!$B$70),0,IFERROR(PV(&apos;Property Calculator&apos;!$B$65/12,&apos;Property Calculator&apos;!$B$70*12-&apos;Property Calculator&apos;!$B$11*12,-AJ62/12),0))),0))</f><v>130575.83066694431</v></c><c r="AV62" s="37"><f>IFERROR(XIRR(AK62:AU62,&apos;Return Details&apos;!$L$4:$L$14),&quot;—&quot;)</f><v>5.4493150115013114E-2</v></c><c r="AW62" s="106"><f>IF(AND(ISNUMBER(AV62),AV62&gt;=$B$37,AL62&gt;=$B$38,AH62&lt;=$B$39,AF62&gt;&apos;Property Calculator&apos;!$B$63),AE62,0)</f><v>0</v></c><c r="AX62" s="106"><f t="shared" si="4"/>&lt;v&gt;0&lt;/v&gt;&lt;/c&gt;&lt;/row&gt;&lt;row r=&quot;63&quot; spans=&quot;27:50&quot; x14ac:dyDescent=&quot;0.25&quot;&gt;&lt;c r=&quot;AE63&quot; s=&quot;106&quot;&gt;&lt;v&gt;230000&lt;/v&gt;&lt;/c&gt;&lt;c r=&quot;AF63&quot; s=&quot;106&quot;&gt;&lt;f t=&quot;shared&quot; si=&quot;2&quot;/&gt;&lt;v&gt;267561&lt;/v&gt;&lt;/c&gt;&lt;c r=&quot;AG63&quot; s=&quot;106&quot;&gt;&lt;f&gt;MAX(0,AF63-&apos;Property Calculator&apos;!$B$63)</f><v>187561</v></c><c r="AH63" s="37"><f t="shared" si="3"/>&lt;v&gt;0.81548260869565214&lt;/v&gt;&lt;/c&gt;&lt;c r=&quot;AI63&quot; s=&quot;106&quot;&gt;&lt;f&gt;($AE63*(1+$AB$7)*&apos;Property Calculator&apos;!$B$96+&apos;Property Calculator&apos;!$B$59)*&apos;Property Calculator&apos;!$B$98</f><v>4013.7760000000003</v></c><c r="AJ63" s="106"><f>IF(AG63&lt;=0,0,PMT(&apos;Property Calculator&apos;!$B$65/12,&apos;Property Calculator&apos;!$B$70*12,-AG63)*12)</f><v>10106.792482813311</v></c><c r="AK63" s="106"><f>-&apos;Property Calculator&apos;!$B$63</f><v>-80000</v></c><c r="AL63" s="106"><f>IF(1&gt;&apos;Property Calculator&apos;!$B$11,0,((&apos;Property Calculator&apos;!$B$82*(1+&apos;Property Calculator&apos;!$B$83)^0)-(&apos;Property Calculator&apos;!$B$93*(1+&apos;Property Calculator&apos;!$B$16)^0)-AJ63-&apos;Property Calculator&apos;!$B$100*((&apos;Property Calculator&apos;!$B$82*(1+&apos;Property Calculator&apos;!$B$83)^0)-(&apos;Property Calculator&apos;!$B$93*(1+&apos;Property Calculator&apos;!$B$16)^0)+(&apos;Property Calculator&apos;!$B$87*(1+&apos;Property Calculator&apos;!$B$16)^0)-(IF(AG63&lt;=0,0,IFERROR(-CUMIPMT(&apos;Property Calculator&apos;!$B$65/12,&apos;Property Calculator&apos;!$B$70*12,AG63,1,12,0),0)))-AI63-&apos;Property Calculator&apos;!$B$101-(IF(1=1,&apos;Property Calculator&apos;!$B$58,0))))+IF(1=&apos;Property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5406.0412977470196</v></c><c r="AM63" s="106"><f>IF(2&gt;&apos;Property Calculator&apos;!$B$11,0,((&apos;Property Calculator&apos;!$B$82*(1+&apos;Property Calculator&apos;!$B$83)^1)-(&apos;Property Calculator&apos;!$B$93*(1+&apos;Property Calculator&apos;!$B$16)^1)-AJ63-&apos;Property Calculator&apos;!$B$100*((&apos;Property Calculator&apos;!$B$82*(1+&apos;Property Calculator&apos;!$B$83)^1)-(&apos;Property Calculator&apos;!$B$93*(1+&apos;Property Calculator&apos;!$B$16)^1)+(&apos;Property Calculator&apos;!$B$87*(1+&apos;Property Calculator&apos;!$B$16)^1)-(IF(AG63&lt;=0,0,IFERROR(-CUMIPMT(&apos;Property Calculator&apos;!$B$65/12,&apos;Property Calculator&apos;!$B$70*12,AG63,13,24,0),0)))-AI63-&apos;Property Calculator&apos;!$B$101-(IF(2=1,&apos;Property Calculator&apos;!$B$58,0))))+IF(2=&apos;Property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-864.08299891912657</v></c><c r="AN63" s="106"><f>IF(3&gt;&apos;Property Calculator&apos;!$B$11,0,((&apos;Property Calculator&apos;!$B$82*(1+&apos;Property Calculator&apos;!$B$83)^2)-(&apos;Property Calculator&apos;!$B$93*(1+&apos;Property Calculator&apos;!$B$16)^2)-AJ63-&apos;Property Calculator&apos;!$B$100*((&apos;Property Calculator&apos;!$B$82*(1+&apos;Property Calculator&apos;!$B$83)^2)-(&apos;Property Calculator&apos;!$B$93*(1+&apos;Property Calculator&apos;!$B$16)^2)+(&apos;Property Calculator&apos;!$B$87*(1+&apos;Property Calculator&apos;!$B$16)^1)-(IF(AG63&lt;=0,0,IFERROR(-CUMIPMT(&apos;Property Calculator&apos;!$B$65/12,&apos;Property Calculator&apos;!$B$70*12,AG63,25,36,0),0)))-AI63-&apos;Property Calculator&apos;!$B$101-(IF(3=1,&apos;Property Calculator&apos;!$B$58,0))))+IF(3=&apos;Property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-826.10067119669077</v></c><c r="AO63" s="106"><f>IF(4&gt;&apos;Property Calculator&apos;!$B$11,0,((&apos;Property Calculator&apos;!$B$82*(1+&apos;Property Calculator&apos;!$B$83)^3)-(&apos;Property Calculator&apos;!$B$93*(1+&apos;Property Calculator&apos;!$B$16)^3)-AJ63-&apos;Property Calculator&apos;!$B$100*((&apos;Property Calculator&apos;!$B$82*(1+&apos;Property Calculator&apos;!$B$83)^3)-(&apos;Property Calculator&apos;!$B$93*(1+&apos;Property Calculator&apos;!$B$16)^3)+(&apos;Property Calculator&apos;!$B$87*(1+&apos;Property Calculator&apos;!$B$16)^1)-(IF(AG63&lt;=0,0,IFERROR(-CUMIPMT(&apos;Property Calculator&apos;!$B$65/12,&apos;Property Calculator&apos;!$B$70*12,AG63,37,48,0),0)))-AI63-&apos;Property Calculator&apos;!$B$101-(IF(4=1,&apos;Property Calculator&apos;!$B$58,0))))+IF(4=&apos;Property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-788.45290379874257</v></c><c r="AP63" s="106"><f>IF(5&gt;&apos;Property Calculator&apos;!$B$11,0,((&apos;Property Calculator&apos;!$B$82*(1+&apos;Property Calculator&apos;!$B$83)^4)-(&apos;Property Calculator&apos;!$B$93*(1+&apos;Property Calculator&apos;!$B$16)^4)-AJ63-&apos;Property Calculator&apos;!$B$100*((&apos;Property Calculator&apos;!$B$82*(1+&apos;Property Calculator&apos;!$B$83)^4)-(&apos;Property Calculator&apos;!$B$93*(1+&apos;Property Calculator&apos;!$B$16)^4)+(&apos;Property Calculator&apos;!$B$87*(1+&apos;Property Calculator&apos;!$B$16)^1)-(IF(AG63&lt;=0,0,IFERROR(-CUMIPMT(&apos;Property Calculator&apos;!$B$65/12,&apos;Property Calculator&apos;!$B$70*12,AG63,49,60,0),0)))-AI63-&apos;Property Calculator&apos;!$B$101-(IF(5=1,&apos;Property Calculator&apos;!$B$58,0))))+IF(5=&apos;Property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-751.18290265087444</v></c><c r="AQ63" s="106"><f>IF(6&gt;&apos;Property Calculator&apos;!$B$11,0,((&apos;Property Calculator&apos;!$B$82*(1+&apos;Property Calculator&apos;!$B$83)^5)-(&apos;Property Calculator&apos;!$B$93*(1+&apos;Property Calculator&apos;!$B$16)^5)-AJ63-&apos;Property Calculator&apos;!$B$100*((&apos;Property Calculator&apos;!$B$82*(1+&apos;Property Calculator&apos;!$B$83)^5)-(&apos;Property Calculator&apos;!$B$93*(1+&apos;Property Calculator&apos;!$B$16)^5)+(&apos;Property Calculator&apos;!$B$87*(1+&apos;Property Calculator&apos;!$B$16)^1)-(IF(AG63&lt;=0,0,IFERROR(-CUMIPMT(&apos;Property Calculator&apos;!$B$65/12,&apos;Property Calculator&apos;!$B$70*12,AG63,61,72,0),0)))-AI63-&apos;Property Calculator&apos;!$B$101-(IF(6=1,&apos;Property Calculator&apos;!$B$58,0))))+IF(6=&apos;Property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-714.33597644235101</v></c><c r="AR63" s="106"><f>IF(7&gt;&apos;Property Calculator&apos;!$B$11,0,((&apos;Property Calculator&apos;!$B$82*(1+&apos;Property Calculator&apos;!$B$83)^6)-(&apos;Property Calculator&apos;!$B$93*(1+&apos;Property Calculator&apos;!$B$16)^6)-AJ63-&apos;Property Calculator&apos;!$B$100*((&apos;Property Calculator&apos;!$B$82*(1+&apos;Property Calculator&apos;!$B$83)^6)-(&apos;Property Calculator&apos;!$B$93*(1+&apos;Property Calculator&apos;!$B$16)^6)+(&apos;Property Calculator&apos;!$B$87*(1+&apos;Property Calculator&apos;!$B$16)^1)-(IF(AG63&lt;=0,0,IFERROR(-CUMIPMT(&apos;Property Calculator&apos;!$B$65/12,&apos;Property Calculator&apos;!$B$70*12,AG63,73,84,0),0)))-AI63-&apos;Property Calculator&apos;!$B$101-(IF(7=1,&apos;Property Calculator&apos;!$B$58,0))))+IF(7=&apos;Property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-677.95962123441052</v></c><c r="AS63" s="106"><f>IF(8&gt;&apos;Property Calculator&apos;!$B$11,0,((&apos;Property Calculator&apos;!$B$82*(1+&apos;Property Calculator&apos;!$B$83)^7)-(&apos;Property Calculator&apos;!$B$93*(1+&apos;Property Calculator&apos;!$B$16)^7)-AJ63-&apos;Property Calculator&apos;!$B$100*((&apos;Property Calculator&apos;!$B$82*(1+&apos;Property Calculator&apos;!$B$83)^7)-(&apos;Property Calculator&apos;!$B$93*(1+&apos;Property Calculator&apos;!$B$16)^7)+(&apos;Property Calculator&apos;!$B$87*(1+&apos;Property Calculator&apos;!$B$16)^1)-(IF(AG63&lt;=0,0,IFERROR(-CUMIPMT(&apos;Property Calculator&apos;!$B$65/12,&apos;Property Calculator&apos;!$B$70*12,AG63,85,96,0),0)))-AI63-&apos;Property Calculator&apos;!$B$101-(IF(8=1,&apos;Property Calculator&apos;!$B$58,0))))+IF(8=&apos;Property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-642.10360823667611</v></c><c r="AT63" s="106"><f>IF(9&gt;&apos;Property Calculator&apos;!$B$11,0,((&apos;Property Calculator&apos;!$B$82*(1+&apos;Property Calculator&apos;!$B$83)^8)-(&apos;Property Calculator&apos;!$B$93*(1+&apos;Property Calculator&apos;!$B$16)^8)-AJ63-&apos;Property Calculator&apos;!$B$100*((&apos;Property Calculator&apos;!$B$82*(1+&apos;Property Calculator&apos;!$B$83)^8)-(&apos;Property Calculator&apos;!$B$93*(1+&apos;Property Calculator&apos;!$B$16)^8)+(&apos;Property Calculator&apos;!$B$87*(1+&apos;Property Calculator&apos;!$B$16)^1)-(IF(AG63&lt;=0,0,IFERROR(-CUMIPMT(&apos;Property Calculator&apos;!$B$65/12,&apos;Property Calculator&apos;!$B$70*12,AG63,97,108,0),0)))-AI63-&apos;Property Calculator&apos;!$B$101-(IF(9=1,&apos;Property Calculator&apos;!$B$58,0))))+IF(9=&apos;Property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-606.82007486657233</v></c><c r="AU63" s="106"><f>IF(10&gt;&apos;Property Calculator&apos;!$B$11,0,((&apos;Property Calculator&apos;!$B$82*(1+&apos;Property Calculator&apos;!$B$83)^9)-(&apos;Property Calculator&apos;!$B$93*(1+&apos;Property Calculator&apos;!$B$16)^9)-AJ63-&apos;Property Calculator&apos;!$B$100*((&apos;Property Calculator&apos;!$B$82*(1+&apos;Property Calculator&apos;!$B$83)^9)-(&apos;Property Calculator&apos;!$B$93*(1+&apos;Property Calculator&apos;!$B$16)^9)+(&apos;Property Calculator&apos;!$B$87*(1+&apos;Property Calculator&apos;!$B$16)^1)-(IF(AG63&lt;=0,0,IFERROR(-CUMIPMT(&apos;Property Calculator&apos;!$B$65/12,&apos;Property Calculator&apos;!$B$70*12,AG63,109,120,0),0)))-AI63-&apos;Property Calculator&apos;!$B$101-(IF(10=1,&apos;Property Calculator&apos;!$B$58,0))))+IF(10=&apos;Property Calculator&apos;!$B$11,($AE63*(1+&apos;Property Calculator&apos;!$B$12)^&apos;Property Calculator&apos;!$B$11)-(($AE63*(1+&apos;Property Calculator&apos;!$B$12)^&apos;Property Calculator&apos;!$B$11)*&apos;Exit Analysis&apos;!$B$5)-(IF(&apos;Property Calculator&apos;!$B$11&lt;10,MAX(0,($AE63*(1+&apos;Property Calculator&apos;!$B$12)^&apos;Property Calculator&apos;!$B$11)-($AE63*(1+$AB$7))+&apos;Property Calculator&apos;!$B$11*AI63-(($AE63*(1+&apos;Property Calculator&apos;!$B$12)^&apos;Property Calculator&apos;!$B$11)*&apos;Exit Analysis&apos;!$B$5))*&apos;Property Calculator&apos;!$B$100,0))-(IF(OR(AG63&lt;=0,&apos;Property Calculator&apos;!$B$11&gt;=&apos;Property Calculator&apos;!$B$70),0,IFERROR(PV(&apos;Property Calculator&apos;!$B$65/12,&apos;Property Calculator&apos;!$B$70*12-&apos;Property Calculator&apos;!$B$11*12,-AJ63/12),0))),0))</f><v>133903.68764939861</v></c><c r="AV63" s="37"><f>IFERROR(XIRR(AK63:AU63,&apos;Return Details&apos;!$L$4:$L$14),&quot;—&quot;)</f><v>5.366794764995575E-2</v></c><c r="AW63" s="106"><f>IF(AND(ISNUMBER(AV63),AV63&gt;=$B$37,AL63&gt;=$B$38,AH63&lt;=$B$39,AF63&gt;&apos;Property Calculator&apos;!$B$63),AE63,0)</f><v>0</v></c><c r="AX63" s="106"><f t="shared" si="4"/>&lt;v&gt;0&lt;/v&gt;&lt;/c&gt;&lt;/row&gt;&lt;row r=&quot;64&quot; spans=&quot;27:50&quot; x14ac:dyDescent=&quot;0.25&quot;&gt;&lt;c r=&quot;AE64&quot; s=&quot;106&quot;&gt;&lt;v&gt;240000&lt;/v&gt;&lt;/c&gt;&lt;c r=&quot;AF64&quot; s=&quot;106&quot;&gt;&lt;f t=&quot;shared&quot; si=&quot;2&quot;/&gt;&lt;v&gt;278468&lt;/v&gt;&lt;/c&gt;&lt;c r=&quot;AG64&quot; s=&quot;106&quot;&gt;&lt;f&gt;MAX(0,AF64-&apos;Property Calculator&apos;!$B$63)</f><v>198468</v></c><c r="AH64" s="37"><f t="shared" si="3"/>&lt;v&gt;0.82694999999999996&lt;/v&gt;&lt;/c&gt;&lt;c r=&quot;AI64&quot; s=&quot;106&quot;&gt;&lt;f&gt;($AE64*(1+$AB$7)*&apos;Property Calculator&apos;!$B$96+&apos;Property Calculator&apos;!$B$59)*&apos;Property Calculator&apos;!$B$98</f><v>4188.2880000000005</v></c><c r="AJ64" s="106"><f>IF(AG64&lt;=0,0,PMT(&apos;Property Calculator&apos;!$B$65/12,&apos;Property Calculator&apos;!$B$70*12,-AG64)*12)</f><v>10694.520132005015</v></c><c r="AK64" s="106"><f>-&apos;Property Calculator&apos;!$B$63</f><v>-80000</v></c><c r="AL64" s="106"><f>IF(1&gt;&apos;Property Calculator&apos;!$B$11,0,((&apos;Property Calculator&apos;!$B$82*(1+&apos;Property Calculator&apos;!$B$83)^0)-(&apos;Property Calculator&apos;!$B$93*(1+&apos;Property Calculator&apos;!$B$16)^0)-AJ64-&apos;Property Calculator&apos;!$B$100*((&apos;Property Calculator&apos;!$B$82*(1+&apos;Property Calculator&apos;!$B$83)^0)-(&apos;Property Calculator&apos;!$B$93*(1+&apos;Property Calculator&apos;!$B$16)^0)+(&apos;Property Calculator&apos;!$B$87*(1+&apos;Property Calculator&apos;!$B$16)^0)-(IF(AG64&lt;=0,0,IFERROR(-CUMIPMT(&apos;Property Calculator&apos;!$B$65/12,&apos;Property Calculator&apos;!$B$70*12,AG64,1,12,0),0)))-AI64-&apos;Property Calculator&apos;!$B$101-(IF(1=1,&apos;Property Calculator&apos;!$B$58,0))))+IF(1=&apos;Property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5050.5401989179809</v></c><c r="AM64" s="106"><f>IF(2&gt;&apos;Property Calculator&apos;!$B$11,0,((&apos;Property Calculator&apos;!$B$82*(1+&apos;Property Calculator&apos;!$B$83)^1)-(&apos;Property Calculator&apos;!$B$93*(1+&apos;Property Calculator&apos;!$B$16)^1)-AJ64-&apos;Property Calculator&apos;!$B$100*((&apos;Property Calculator&apos;!$B$82*(1+&apos;Property Calculator&apos;!$B$83)^1)-(&apos;Property Calculator&apos;!$B$93*(1+&apos;Property Calculator&apos;!$B$16)^1)+(&apos;Property Calculator&apos;!$B$87*(1+&apos;Property Calculator&apos;!$B$16)^1)-(IF(AG64&lt;=0,0,IFERROR(-CUMIPMT(&apos;Property Calculator&apos;!$B$65/12,&apos;Property Calculator&apos;!$B$70*12,AG64,13,24,0),0)))-AI64-&apos;Property Calculator&apos;!$B$101-(IF(2=1,&apos;Property Calculator&apos;!$B$58,0))))+IF(2=&apos;Property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-1222.7109344878809</v></c><c r="AN64" s="106"><f>IF(3&gt;&apos;Property Calculator&apos;!$B$11,0,((&apos;Property Calculator&apos;!$B$82*(1+&apos;Property Calculator&apos;!$B$83)^2)-(&apos;Property Calculator&apos;!$B$93*(1+&apos;Property Calculator&apos;!$B$16)^2)-AJ64-&apos;Property Calculator&apos;!$B$100*((&apos;Property Calculator&apos;!$B$82*(1+&apos;Property Calculator&apos;!$B$83)^2)-(&apos;Property Calculator&apos;!$B$93*(1+&apos;Property Calculator&apos;!$B$16)^2)+(&apos;Property Calculator&apos;!$B$87*(1+&apos;Property Calculator&apos;!$B$16)^1)-(IF(AG64&lt;=0,0,IFERROR(-CUMIPMT(&apos;Property Calculator&apos;!$B$65/12,&apos;Property Calculator&apos;!$B$70*12,AG64,25,36,0),0)))-AI64-&apos;Property Calculator&apos;!$B$101-(IF(3=1,&apos;Property Calculator&apos;!$B$58,0))))+IF(3=&apos;Property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-1187.9666555603515</v></c><c r="AO64" s="106"><f>IF(4&gt;&apos;Property Calculator&apos;!$B$11,0,((&apos;Property Calculator&apos;!$B$82*(1+&apos;Property Calculator&apos;!$B$83)^3)-(&apos;Property Calculator&apos;!$B$93*(1+&apos;Property Calculator&apos;!$B$16)^3)-AJ64-&apos;Property Calculator&apos;!$B$100*((&apos;Property Calculator&apos;!$B$82*(1+&apos;Property Calculator&apos;!$B$83)^3)-(&apos;Property Calculator&apos;!$B$93*(1+&apos;Property Calculator&apos;!$B$16)^3)+(&apos;Property Calculator&apos;!$B$87*(1+&apos;Property Calculator&apos;!$B$16)^1)-(IF(AG64&lt;=0,0,IFERROR(-CUMIPMT(&apos;Property Calculator&apos;!$B$65/12,&apos;Property Calculator&apos;!$B$70*12,AG64,37,48,0),0)))-AI64-&apos;Property Calculator&apos;!$B$101-(IF(4=1,&apos;Property Calculator&apos;!$B$58,0))))+IF(4=&apos;Property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-1153.6721044864344</v></c><c r="AP64" s="106"><f>IF(5&gt;&apos;Property Calculator&apos;!$B$11,0,((&apos;Property Calculator&apos;!$B$82*(1+&apos;Property Calculator&apos;!$B$83)^4)-(&apos;Property Calculator&apos;!$B$93*(1+&apos;Property Calculator&apos;!$B$16)^4)-AJ64-&apos;Property Calculator&apos;!$B$100*((&apos;Property Calculator&apos;!$B$82*(1+&apos;Property Calculator&apos;!$B$83)^4)-(&apos;Property Calculator&apos;!$B$93*(1+&apos;Property Calculator&apos;!$B$16)^4)+(&apos;Property Calculator&apos;!$B$87*(1+&apos;Property Calculator&apos;!$B$16)^1)-(IF(AG64&lt;=0,0,IFERROR(-CUMIPMT(&apos;Property Calculator&apos;!$B$65/12,&apos;Property Calculator&apos;!$B$70*12,AG64,49,60,0),0)))-AI64-&apos;Property Calculator&apos;!$B$101-(IF(5=1,&apos;Property Calculator&apos;!$B$58,0))))+IF(5=&apos;Property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-1119.8745833498122</v></c><c r="AQ64" s="106"><f>IF(6&gt;&apos;Property Calculator&apos;!$B$11,0,((&apos;Property Calculator&apos;!$B$82*(1+&apos;Property Calculator&apos;!$B$83)^5)-(&apos;Property Calculator&apos;!$B$93*(1+&apos;Property Calculator&apos;!$B$16)^5)-AJ64-&apos;Property Calculator&apos;!$B$100*((&apos;Property Calculator&apos;!$B$82*(1+&apos;Property Calculator&apos;!$B$83)^5)-(&apos;Property Calculator&apos;!$B$93*(1+&apos;Property Calculator&apos;!$B$16)^5)+(&apos;Property Calculator&apos;!$B$87*(1+&apos;Property Calculator&apos;!$B$16)^1)-(IF(AG64&lt;=0,0,IFERROR(-CUMIPMT(&apos;Property Calculator&apos;!$B$65/12,&apos;Property Calculator&apos;!$B$70*12,AG64,61,72,0),0)))-AI64-&apos;Property Calculator&apos;!$B$101-(IF(6=1,&apos;Property Calculator&apos;!$B$58,0))))+IF(6=&apos;Property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-1086.6236426857001</v></c><c r="AR64" s="106"><f>IF(7&gt;&apos;Property Calculator&apos;!$B$11,0,((&apos;Property Calculator&apos;!$B$82*(1+&apos;Property Calculator&apos;!$B$83)^6)-(&apos;Property Calculator&apos;!$B$93*(1+&apos;Property Calculator&apos;!$B$16)^6)-AJ64-&apos;Property Calculator&apos;!$B$100*((&apos;Property Calculator&apos;!$B$82*(1+&apos;Property Calculator&apos;!$B$83)^6)-(&apos;Property Calculator&apos;!$B$93*(1+&apos;Property Calculator&apos;!$B$16)^6)+(&apos;Property Calculator&apos;!$B$87*(1+&apos;Property Calculator&apos;!$B$16)^1)-(IF(AG64&lt;=0,0,IFERROR(-CUMIPMT(&apos;Property Calculator&apos;!$B$65/12,&apos;Property Calculator&apos;!$B$70*12,AG64,73,84,0),0)))-AI64-&apos;Property Calculator&apos;!$B$101-(IF(7=1,&apos;Property Calculator&apos;!$B$58,0))))+IF(7=&apos;Property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-1053.9711712708236</v></c><c r="AS64" s="106"><f>IF(8&gt;&apos;Property Calculator&apos;!$B$11,0,((&apos;Property Calculator&apos;!$B$82*(1+&apos;Property Calculator&apos;!$B$83)^7)-(&apos;Property Calculator&apos;!$B$93*(1+&apos;Property Calculator&apos;!$B$16)^7)-AJ64-&apos;Property Calculator&apos;!$B$100*((&apos;Property Calculator&apos;!$B$82*(1+&apos;Property Calculator&apos;!$B$83)^7)-(&apos;Property Calculator&apos;!$B$93*(1+&apos;Property Calculator&apos;!$B$16)^7)+(&apos;Property Calculator&apos;!$B$87*(1+&apos;Property Calculator&apos;!$B$16)^1)-(IF(AG64&lt;=0,0,IFERROR(-CUMIPMT(&apos;Property Calculator&apos;!$B$65/12,&apos;Property Calculator&apos;!$B$70*12,AG64,85,96,0),0)))-AI64-&apos;Property Calculator&apos;!$B$101-(IF(8=1,&apos;Property Calculator&apos;!$B$58,0))))+IF(8=&apos;Property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-1021.9714892657978</v></c><c r="AT64" s="106"><f>IF(9&gt;&apos;Property Calculator&apos;!$B$11,0,((&apos;Property Calculator&apos;!$B$82*(1+&apos;Property Calculator&apos;!$B$83)^8)-(&apos;Property Calculator&apos;!$B$93*(1+&apos;Property Calculator&apos;!$B$16)^8)-AJ64-&apos;Property Calculator&apos;!$B$100*((&apos;Property Calculator&apos;!$B$82*(1+&apos;Property Calculator&apos;!$B$83)^8)-(&apos;Property Calculator&apos;!$B$93*(1+&apos;Property Calculator&apos;!$B$16)^8)+(&apos;Property Calculator&apos;!$B$87*(1+&apos;Property Calculator&apos;!$B$16)^1)-(IF(AG64&lt;=0,0,IFERROR(-CUMIPMT(&apos;Property Calculator&apos;!$B$65/12,&apos;Property Calculator&apos;!$B$70*12,AG64,97,108,0),0)))-AI64-&apos;Property Calculator&apos;!$B$101-(IF(9=1,&apos;Property Calculator&apos;!$B$58,0))))+IF(9=&apos;Property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-990.68144483136348</v></c><c r="AU64" s="106"><f>IF(10&gt;&apos;Property Calculator&apos;!$B$11,0,((&apos;Property Calculator&apos;!$B$82*(1+&apos;Property Calculator&apos;!$B$83)^9)-(&apos;Property Calculator&apos;!$B$93*(1+&apos;Property Calculator&apos;!$B$16)^9)-AJ64-&apos;Property Calculator&apos;!$B$100*((&apos;Property Calculator&apos;!$B$82*(1+&apos;Property Calculator&apos;!$B$83)^9)-(&apos;Property Calculator&apos;!$B$93*(1+&apos;Property Calculator&apos;!$B$16)^9)+(&apos;Property Calculator&apos;!$B$87*(1+&apos;Property Calculator&apos;!$B$16)^1)-(IF(AG64&lt;=0,0,IFERROR(-CUMIPMT(&apos;Property Calculator&apos;!$B$65/12,&apos;Property Calculator&apos;!$B$70*12,AG64,109,120,0),0)))-AI64-&apos;Property Calculator&apos;!$B$101-(IF(10=1,&apos;Property Calculator&apos;!$B$58,0))))+IF(10=&apos;Property Calculator&apos;!$B$11,($AE64*(1+&apos;Property Calculator&apos;!$B$12)^&apos;Property Calculator&apos;!$B$11)-(($AE64*(1+&apos;Property Calculator&apos;!$B$12)^&apos;Property Calculator&apos;!$B$11)*&apos;Exit Analysis&apos;!$B$5)-(IF(&apos;Property Calculator&apos;!$B$11&lt;10,MAX(0,($AE64*(1+&apos;Property Calculator&apos;!$B$12)^&apos;Property Calculator&apos;!$B$11)-($AE64*(1+$AB$7))+&apos;Property Calculator&apos;!$B$11*AI64-(($AE64*(1+&apos;Property Calculator&apos;!$B$12)^&apos;Property Calculator&apos;!$B$11)*&apos;Exit Analysis&apos;!$B$5))*&apos;Property Calculator&apos;!$B$100,0))-(IF(OR(AG64&lt;=0,&apos;Property Calculator&apos;!$B$11&gt;=&apos;Property Calculator&apos;!$B$70),0,IFERROR(PV(&apos;Property Calculator&apos;!$B$65/12,&apos;Property Calculator&apos;!$B$70*12-&apos;Property Calculator&apos;!$B$11*12,-AJ64/12),0))),0))</f><v>137231.54463185277</v></c><c r="AV64" s="37"><f>IFERROR(XIRR(AK64:AU64,&apos;Return Details&apos;!$L$4:$L$14),&quot;—&quot;)</f><v>5.2865615487098699E-2</v></c><c r="AW64" s="106"><f>IF(AND(ISNUMBER(AV64),AV64&gt;=$B$37,AL64&gt;=$B$38,AH64&lt;=$B$39,AF64&gt;&apos;Property Calculator&apos;!$B$63),AE64,0)</f><v>0</v></c><c r="AX64" s="106"><f t="shared" si="4"/>&lt;v&gt;0&lt;/v&gt;&lt;/c&gt;&lt;/row&gt;&lt;row r=&quot;65&quot; spans=&quot;31:50&quot; x14ac:dyDescent=&quot;0.25&quot;&gt;&lt;c r=&quot;AE65&quot; s=&quot;106&quot;&gt;&lt;v&gt;250000&lt;/v&gt;&lt;/c&gt;&lt;c r=&quot;AF65&quot; s=&quot;106&quot;&gt;&lt;f t=&quot;shared&quot; si=&quot;2&quot;/&gt;&lt;v&gt;289375&lt;/v&gt;&lt;/c&gt;&lt;c r=&quot;AG65&quot; s=&quot;106&quot;&gt;&lt;f&gt;MAX(0,AF65-&apos;Property Calculator&apos;!$B$63)</f><v>209375</v></c><c r="AH65" s="37"><f t="shared" si="3"/>&lt;v&gt;0.83750000000000002&lt;/v&gt;&lt;/c&gt;&lt;c r=&quot;AI65&quot; s=&quot;106&quot;&gt;&lt;f&gt;($AE65*(1+$AB$7)*&apos;Property Calculator&apos;!$B$96+&apos;Property Calculator&apos;!$B$59)*&apos;Property Calculator&apos;!$B$98</f><v>4362.8</v></c><c r="AJ65" s="106"><f>IF(AG65&lt;=0,0,PMT(&apos;Property Calculator&apos;!$B$65/12,&apos;Property Calculator&apos;!$B$70*12,-AG65)*12)</f><v>11282.247781196716</v></c><c r="AK65" s="106"><f>-&apos;Property Calculator&apos;!$B$63</f><v>-80000</v></c><c r="AL65" s="106"><f>IF(1&gt;&apos;Property Calculator&apos;!$B$11,0,((&apos;Property Calculator&apos;!$B$82*(1+&apos;Property Calculator&apos;!$B$83)^0)-(&apos;Property Calculator&apos;!$B$93*(1+&apos;Property Calculator&apos;!$B$16)^0)-AJ65-&apos;Property Calculator&apos;!$B$100*((&apos;Property Calculator&apos;!$B$82*(1+&apos;Property Calculator&apos;!$B$83)^0)-(&apos;Property Calculator&apos;!$B$93*(1+&apos;Property Calculator&apos;!$B$16)^0)+(&apos;Property Calculator&apos;!$B$87*(1+&apos;Property Calculator&apos;!$B$16)^0)-(IF(AG65&lt;=0,0,IFERROR(-CUMIPMT(&apos;Property Calculator&apos;!$B$65/12,&apos;Property Calculator&apos;!$B$70*12,AG65,1,12,0),0)))-AI65-&apos;Property Calculator&apos;!$B$101-(IF(1=1,&apos;Property Calculator&apos;!$B$58,0))))+IF(1=&apos;Property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4695.0391000889413</v></c><c r="AM65" s="106"><f>IF(2&gt;&apos;Property Calculator&apos;!$B$11,0,((&apos;Property Calculator&apos;!$B$82*(1+&apos;Property Calculator&apos;!$B$83)^1)-(&apos;Property Calculator&apos;!$B$93*(1+&apos;Property Calculator&apos;!$B$16)^1)-AJ65-&apos;Property Calculator&apos;!$B$100*((&apos;Property Calculator&apos;!$B$82*(1+&apos;Property Calculator&apos;!$B$83)^1)-(&apos;Property Calculator&apos;!$B$93*(1+&apos;Property Calculator&apos;!$B$16)^1)+(&apos;Property Calculator&apos;!$B$87*(1+&apos;Property Calculator&apos;!$B$16)^1)-(IF(AG65&lt;=0,0,IFERROR(-CUMIPMT(&apos;Property Calculator&apos;!$B$65/12,&apos;Property Calculator&apos;!$B$70*12,AG65,13,24,0),0)))-AI65-&apos;Property Calculator&apos;!$B$101-(IF(2=1,&apos;Property Calculator&apos;!$B$58,0))))+IF(2=&apos;Property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-1581.3388700566343</v></c><c r="AN65" s="106"><f>IF(3&gt;&apos;Property Calculator&apos;!$B$11,0,((&apos;Property Calculator&apos;!$B$82*(1+&apos;Property Calculator&apos;!$B$83)^2)-(&apos;Property Calculator&apos;!$B$93*(1+&apos;Property Calculator&apos;!$B$16)^2)-AJ65-&apos;Property Calculator&apos;!$B$100*((&apos;Property Calculator&apos;!$B$82*(1+&apos;Property Calculator&apos;!$B$83)^2)-(&apos;Property Calculator&apos;!$B$93*(1+&apos;Property Calculator&apos;!$B$16)^2)+(&apos;Property Calculator&apos;!$B$87*(1+&apos;Property Calculator&apos;!$B$16)^1)-(IF(AG65&lt;=0,0,IFERROR(-CUMIPMT(&apos;Property Calculator&apos;!$B$65/12,&apos;Property Calculator&apos;!$B$70*12,AG65,25,36,0),0)))-AI65-&apos;Property Calculator&apos;!$B$101-(IF(3=1,&apos;Property Calculator&apos;!$B$58,0))))+IF(3=&apos;Property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-1549.8326399240107</v></c><c r="AO65" s="106"><f>IF(4&gt;&apos;Property Calculator&apos;!$B$11,0,((&apos;Property Calculator&apos;!$B$82*(1+&apos;Property Calculator&apos;!$B$83)^3)-(&apos;Property Calculator&apos;!$B$93*(1+&apos;Property Calculator&apos;!$B$16)^3)-AJ65-&apos;Property Calculator&apos;!$B$100*((&apos;Property Calculator&apos;!$B$82*(1+&apos;Property Calculator&apos;!$B$83)^3)-(&apos;Property Calculator&apos;!$B$93*(1+&apos;Property Calculator&apos;!$B$16)^3)+(&apos;Property Calculator&apos;!$B$87*(1+&apos;Property Calculator&apos;!$B$16)^1)-(IF(AG65&lt;=0,0,IFERROR(-CUMIPMT(&apos;Property Calculator&apos;!$B$65/12,&apos;Property Calculator&apos;!$B$70*12,AG65,37,48,0),0)))-AI65-&apos;Property Calculator&apos;!$B$101-(IF(4=1,&apos;Property Calculator&apos;!$B$58,0))))+IF(4=&apos;Property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-1518.8913051741249</v></c><c r="AP65" s="106"><f>IF(5&gt;&apos;Property Calculator&apos;!$B$11,0,((&apos;Property Calculator&apos;!$B$82*(1+&apos;Property Calculator&apos;!$B$83)^4)-(&apos;Property Calculator&apos;!$B$93*(1+&apos;Property Calculator&apos;!$B$16)^4)-AJ65-&apos;Property Calculator&apos;!$B$100*((&apos;Property Calculator&apos;!$B$82*(1+&apos;Property Calculator&apos;!$B$83)^4)-(&apos;Property Calculator&apos;!$B$93*(1+&apos;Property Calculator&apos;!$B$16)^4)+(&apos;Property Calculator&apos;!$B$87*(1+&apos;Property Calculator&apos;!$B$16)^1)-(IF(AG65&lt;=0,0,IFERROR(-CUMIPMT(&apos;Property Calculator&apos;!$B$65/12,&apos;Property Calculator&apos;!$B$70*12,AG65,49,60,0),0)))-AI65-&apos;Property Calculator&apos;!$B$101-(IF(5=1,&apos;Property Calculator&apos;!$B$58,0))))+IF(5=&apos;Property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-1488.5662640487485</v></c><c r="AQ65" s="106"><f>IF(6&gt;&apos;Property Calculator&apos;!$B$11,0,((&apos;Property Calculator&apos;!$B$82*(1+&apos;Property Calculator&apos;!$B$83)^5)-(&apos;Property Calculator&apos;!$B$93*(1+&apos;Property Calculator&apos;!$B$16)^5)-AJ65-&apos;Property Calculator&apos;!$B$100*((&apos;Property Calculator&apos;!$B$82*(1+&apos;Property Calculator&apos;!$B$83)^5)-(&apos;Property Calculator&apos;!$B$93*(1+&apos;Property Calculator&apos;!$B$16)^5)+(&apos;Property Calculator&apos;!$B$87*(1+&apos;Property Calculator&apos;!$B$16)^1)-(IF(AG65&lt;=0,0,IFERROR(-CUMIPMT(&apos;Property Calculator&apos;!$B$65/12,&apos;Property Calculator&apos;!$B$70*12,AG65,61,72,0),0)))-AI65-&apos;Property Calculator&apos;!$B$101-(IF(6=1,&apos;Property Calculator&apos;!$B$58,0))))+IF(6=&apos;Property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-1458.9113089290479</v></c><c r="AR65" s="106"><f>IF(7&gt;&apos;Property Calculator&apos;!$B$11,0,((&apos;Property Calculator&apos;!$B$82*(1+&apos;Property Calculator&apos;!$B$83)^6)-(&apos;Property Calculator&apos;!$B$93*(1+&apos;Property Calculator&apos;!$B$16)^6)-AJ65-&apos;Property Calculator&apos;!$B$100*((&apos;Property Calculator&apos;!$B$82*(1+&apos;Property Calculator&apos;!$B$83)^6)-(&apos;Property Calculator&apos;!$B$93*(1+&apos;Property Calculator&apos;!$B$16)^6)+(&apos;Property Calculator&apos;!$B$87*(1+&apos;Property Calculator&apos;!$B$16)^1)-(IF(AG65&lt;=0,0,IFERROR(-CUMIPMT(&apos;Property Calculator&apos;!$B$65/12,&apos;Property Calculator&apos;!$B$70*12,AG65,73,84,0),0)))-AI65-&apos;Property Calculator&apos;!$B$101-(IF(7=1,&apos;Property Calculator&apos;!$B$58,0))))+IF(7=&apos;Property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-1429.9827213072356</v></c><c r="AS65" s="106"><f>IF(8&gt;&apos;Property Calculator&apos;!$B$11,0,((&apos;Property Calculator&apos;!$B$82*(1+&apos;Property Calculator&apos;!$B$83)^7)-(&apos;Property Calculator&apos;!$B$93*(1+&apos;Property Calculator&apos;!$B$16)^7)-AJ65-&apos;Property Calculator&apos;!$B$100*((&apos;Property Calculator&apos;!$B$82*(1+&apos;Property Calculator&apos;!$B$83)^7)-(&apos;Property Calculator&apos;!$B$93*(1+&apos;Property Calculator&apos;!$B$16)^7)+(&apos;Property Calculator&apos;!$B$87*(1+&apos;Property Calculator&apos;!$B$16)^1)-(IF(AG65&lt;=0,0,IFERROR(-CUMIPMT(&apos;Property Calculator&apos;!$B$65/12,&apos;Property Calculator&apos;!$B$70*12,AG65,85,96,0),0)))-AI65-&apos;Property Calculator&apos;!$B$101-(IF(8=1,&apos;Property Calculator&apos;!$B$58,0))))+IF(8=&apos;Property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-1401.8393702949177</v></c><c r="AT65" s="106"><f>IF(9&gt;&apos;Property Calculator&apos;!$B$11,0,((&apos;Property Calculator&apos;!$B$82*(1+&apos;Property Calculator&apos;!$B$83)^8)-(&apos;Property Calculator&apos;!$B$93*(1+&apos;Property Calculator&apos;!$B$16)^8)-AJ65-&apos;Property Calculator&apos;!$B$100*((&apos;Property Calculator&apos;!$B$82*(1+&apos;Property Calculator&apos;!$B$83)^8)-(&apos;Property Calculator&apos;!$B$93*(1+&apos;Property Calculator&apos;!$B$16)^8)+(&apos;Property Calculator&apos;!$B$87*(1+&apos;Property Calculator&apos;!$B$16)^1)-(IF(AG65&lt;=0,0,IFERROR(-CUMIPMT(&apos;Property Calculator&apos;!$B$65/12,&apos;Property Calculator&apos;!$B$70*12,AG65,97,108,0),0)))-AI65-&apos;Property Calculator&apos;!$B$101-(IF(9=1,&apos;Property Calculator&apos;!$B$58,0))))+IF(9=&apos;Property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-1374.5428147961532</v></c><c r="AU65" s="106"><f>IF(10&gt;&apos;Property Calculator&apos;!$B$11,0,((&apos;Property Calculator&apos;!$B$82*(1+&apos;Property Calculator&apos;!$B$83)^9)-(&apos;Property Calculator&apos;!$B$93*(1+&apos;Property Calculator&apos;!$B$16)^9)-AJ65-&apos;Property Calculator&apos;!$B$100*((&apos;Property Calculator&apos;!$B$82*(1+&apos;Property Calculator&apos;!$B$83)^9)-(&apos;Property Calculator&apos;!$B$93*(1+&apos;Property Calculator&apos;!$B$16)^9)+(&apos;Property Calculator&apos;!$B$87*(1+&apos;Property Calculator&apos;!$B$16)^1)-(IF(AG65&lt;=0,0,IFERROR(-CUMIPMT(&apos;Property Calculator&apos;!$B$65/12,&apos;Property Calculator&apos;!$B$70*12,AG65,109,120,0),0)))-AI65-&apos;Property Calculator&apos;!$B$101-(IF(10=1,&apos;Property Calculator&apos;!$B$58,0))))+IF(10=&apos;Property Calculator&apos;!$B$11,($AE65*(1+&apos;Property Calculator&apos;!$B$12)^&apos;Property Calculator&apos;!$B$11)-(($AE65*(1+&apos;Property Calculator&apos;!$B$12)^&apos;Property Calculator&apos;!$B$11)*&apos;Exit Analysis&apos;!$B$5)-(IF(&apos;Property Calculator&apos;!$B$11&lt;10,MAX(0,($AE65*(1+&apos;Property Calculator&apos;!$B$12)^&apos;Property Calculator&apos;!$B$11)-($AE65*(1+$AB$7))+&apos;Property Calculator&apos;!$B$11*AI65-(($AE65*(1+&apos;Property Calculator&apos;!$B$12)^&apos;Property Calculator&apos;!$B$11)*&apos;Exit Analysis&apos;!$B$5))*&apos;Property Calculator&apos;!$B$100,0))-(IF(OR(AG65&lt;=0,&apos;Property Calculator&apos;!$B$11&gt;=&apos;Property Calculator&apos;!$B$70),0,IFERROR(PV(&apos;Property Calculator&apos;!$B$65/12,&apos;Property Calculator&apos;!$B$70*12-&apos;Property Calculator&apos;!$B$11*12,-AJ65/12),0))),0))</f><v>140559.40161430705</v></c><c r="AV65" s="37"><f>IFERROR(XIRR(AK65:AU65,&apos;Return Details&apos;!$L$4:$L$14),&quot;—&quot;)</f><v>5.2085301280021673E-2</v></c><c r="AW65" s="106"><f>IF(AND(ISNUMBER(AV65),AV65&gt;=$B$37,AL65&gt;=$B$38,AH65&lt;=$B$39,AF65&gt;&apos;Property Calculator&apos;!$B$63),AE65,0)</f><v>0</v></c><c r="AX65" s="106"><f t="shared" si="4"/>&lt;v&gt;0&lt;/v&gt;&lt;/c&gt;&lt;/row&gt;&lt;row r=&quot;66&quot; spans=&quot;31:50&quot; x14ac:dyDescent=&quot;0.25&quot;&gt;&lt;c r=&quot;AE66&quot; s=&quot;106&quot;&gt;&lt;v&gt;260000&lt;/v&gt;&lt;/c&gt;&lt;c r=&quot;AF66&quot; s=&quot;106&quot;&gt;&lt;f t=&quot;shared&quot; si=&quot;2&quot;/&gt;&lt;v&gt;300282&lt;/v&gt;&lt;/c&gt;&lt;c r=&quot;AG66&quot; s=&quot;106&quot;&gt;&lt;f&gt;MAX(0,AF66-&apos;Property Calculator&apos;!$B$63)</f><v>220282</v></c><c r="AH66" s="37"><f t="shared" si="3"/>&lt;v&gt;0.8472384615384615&lt;/v&gt;&lt;/c&gt;&lt;c r=&quot;AI66&quot; s=&quot;106&quot;&gt;&lt;f&gt;($AE66*(1+$AB$7)*&apos;Property Calculator&apos;!$B$96+&apos;Property Calculator&apos;!$B$59)*&apos;Property Calculator&apos;!$B$98</f><v>4537.3119999999999</v></c><c r="AJ66" s="106"><f>IF(AG66&lt;=0,0,PMT(&apos;Property Calculator&apos;!$B$65/12,&apos;Property Calculator&apos;!$B$70*12,-AG66)*12)</f><v>11869.975430388416</v></c><c r="AK66" s="106"><f>-&apos;Property Calculator&apos;!$B$63</f><v>-80000</v></c><c r="AL66" s="106"><f>IF(1&gt;&apos;Property Calculator&apos;!$B$11,0,((&apos;Property Calculator&apos;!$B$82*(1+&apos;Property Calculator&apos;!$B$83)^0)-(&apos;Property Calculator&apos;!$B$93*(1+&apos;Property Calculator&apos;!$B$16)^0)-AJ66-&apos;Property Calculator&apos;!$B$100*((&apos;Property Calculator&apos;!$B$82*(1+&apos;Property Calculator&apos;!$B$83)^0)-(&apos;Property Calculator&apos;!$B$93*(1+&apos;Property Calculator&apos;!$B$16)^0)+(&apos;Property Calculator&apos;!$B$87*(1+&apos;Property Calculator&apos;!$B$16)^0)-(IF(AG66&lt;=0,0,IFERROR(-CUMIPMT(&apos;Property Calculator&apos;!$B$65/12,&apos;Property Calculator&apos;!$B$70*12,AG66,1,12,0),0)))-AI66-&apos;Property Calculator&apos;!$B$101-(IF(1=1,&apos;Property Calculator&apos;!$B$58,0))))+IF(1=&apos;Property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4339.5380012599044</v></c><c r="AM66" s="106"><f>IF(2&gt;&apos;Property Calculator&apos;!$B$11,0,((&apos;Property Calculator&apos;!$B$82*(1+&apos;Property Calculator&apos;!$B$83)^1)-(&apos;Property Calculator&apos;!$B$93*(1+&apos;Property Calculator&apos;!$B$16)^1)-AJ66-&apos;Property Calculator&apos;!$B$100*((&apos;Property Calculator&apos;!$B$82*(1+&apos;Property Calculator&apos;!$B$83)^1)-(&apos;Property Calculator&apos;!$B$93*(1+&apos;Property Calculator&apos;!$B$16)^1)+(&apos;Property Calculator&apos;!$B$87*(1+&apos;Property Calculator&apos;!$B$16)^1)-(IF(AG66&lt;=0,0,IFERROR(-CUMIPMT(&apos;Property Calculator&apos;!$B$65/12,&apos;Property Calculator&apos;!$B$70*12,AG66,13,24,0),0)))-AI66-&apos;Property Calculator&apos;!$B$101-(IF(2=1,&apos;Property Calculator&apos;!$B$58,0))))+IF(2=&apos;Property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-1939.9668056253865</v></c><c r="AN66" s="106"><f>IF(3&gt;&apos;Property Calculator&apos;!$B$11,0,((&apos;Property Calculator&apos;!$B$82*(1+&apos;Property Calculator&apos;!$B$83)^2)-(&apos;Property Calculator&apos;!$B$93*(1+&apos;Property Calculator&apos;!$B$16)^2)-AJ66-&apos;Property Calculator&apos;!$B$100*((&apos;Property Calculator&apos;!$B$82*(1+&apos;Property Calculator&apos;!$B$83)^2)-(&apos;Property Calculator&apos;!$B$93*(1+&apos;Property Calculator&apos;!$B$16)^2)+(&apos;Property Calculator&apos;!$B$87*(1+&apos;Property Calculator&apos;!$B$16)^1)-(IF(AG66&lt;=0,0,IFERROR(-CUMIPMT(&apos;Property Calculator&apos;!$B$65/12,&apos;Property Calculator&apos;!$B$70*12,AG66,25,36,0),0)))-AI66-&apos;Property Calculator&apos;!$B$101-(IF(3=1,&apos;Property Calculator&apos;!$B$58,0))))+IF(3=&apos;Property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-1911.698624287669</v></c><c r="AO66" s="106"><f>IF(4&gt;&apos;Property Calculator&apos;!$B$11,0,((&apos;Property Calculator&apos;!$B$82*(1+&apos;Property Calculator&apos;!$B$83)^3)-(&apos;Property Calculator&apos;!$B$93*(1+&apos;Property Calculator&apos;!$B$16)^3)-AJ66-&apos;Property Calculator&apos;!$B$100*((&apos;Property Calculator&apos;!$B$82*(1+&apos;Property Calculator&apos;!$B$83)^3)-(&apos;Property Calculator&apos;!$B$93*(1+&apos;Property Calculator&apos;!$B$16)^3)+(&apos;Property Calculator&apos;!$B$87*(1+&apos;Property Calculator&apos;!$B$16)^1)-(IF(AG66&lt;=0,0,IFERROR(-CUMIPMT(&apos;Property Calculator&apos;!$B$65/12,&apos;Property Calculator&apos;!$B$70*12,AG66,37,48,0),0)))-AI66-&apos;Property Calculator&apos;!$B$101-(IF(4=1,&apos;Property Calculator&apos;!$B$58,0))))+IF(4=&apos;Property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-1884.1105058618145</v></c><c r="AP66" s="106"><f>IF(5&gt;&apos;Property Calculator&apos;!$B$11,0,((&apos;Property Calculator&apos;!$B$82*(1+&apos;Property Calculator&apos;!$B$83)^4)-(&apos;Property Calculator&apos;!$B$93*(1+&apos;Property Calculator&apos;!$B$16)^4)-AJ66-&apos;Property Calculator&apos;!$B$100*((&apos;Property Calculator&apos;!$B$82*(1+&apos;Property Calculator&apos;!$B$83)^4)-(&apos;Property Calculator&apos;!$B$93*(1+&apos;Property Calculator&apos;!$B$16)^4)+(&apos;Property Calculator&apos;!$B$87*(1+&apos;Property Calculator&apos;!$B$16)^1)-(IF(AG66&lt;=0,0,IFERROR(-CUMIPMT(&apos;Property Calculator&apos;!$B$65/12,&apos;Property Calculator&apos;!$B$70*12,AG66,49,60,0),0)))-AI66-&apos;Property Calculator&apos;!$B$101-(IF(5=1,&apos;Property Calculator&apos;!$B$58,0))))+IF(5=&apos;Property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-1857.2579447476837</v></c><c r="AQ66" s="106"><f>IF(6&gt;&apos;Property Calculator&apos;!$B$11,0,((&apos;Property Calculator&apos;!$B$82*(1+&apos;Property Calculator&apos;!$B$83)^5)-(&apos;Property Calculator&apos;!$B$93*(1+&apos;Property Calculator&apos;!$B$16)^5)-AJ66-&apos;Property Calculator&apos;!$B$100*((&apos;Property Calculator&apos;!$B$82*(1+&apos;Property Calculator&apos;!$B$83)^5)-(&apos;Property Calculator&apos;!$B$93*(1+&apos;Property Calculator&apos;!$B$16)^5)+(&apos;Property Calculator&apos;!$B$87*(1+&apos;Property Calculator&apos;!$B$16)^1)-(IF(AG66&lt;=0,0,IFERROR(-CUMIPMT(&apos;Property Calculator&apos;!$B$65/12,&apos;Property Calculator&apos;!$B$70*12,AG66,61,72,0),0)))-AI66-&apos;Property Calculator&apos;!$B$101-(IF(6=1,&apos;Property Calculator&apos;!$B$58,0))))+IF(6=&apos;Property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-1831.198975172395</v></c><c r="AR66" s="106"><f>IF(7&gt;&apos;Property Calculator&apos;!$B$11,0,((&apos;Property Calculator&apos;!$B$82*(1+&apos;Property Calculator&apos;!$B$83)^6)-(&apos;Property Calculator&apos;!$B$93*(1+&apos;Property Calculator&apos;!$B$16)^6)-AJ66-&apos;Property Calculator&apos;!$B$100*((&apos;Property Calculator&apos;!$B$82*(1+&apos;Property Calculator&apos;!$B$83)^6)-(&apos;Property Calculator&apos;!$B$93*(1+&apos;Property Calculator&apos;!$B$16)^6)+(&apos;Property Calculator&apos;!$B$87*(1+&apos;Property Calculator&apos;!$B$16)^1)-(IF(AG66&lt;=0,0,IFERROR(-CUMIPMT(&apos;Property Calculator&apos;!$B$65/12,&apos;Property Calculator&apos;!$B$70*12,AG66,73,84,0),0)))-AI66-&apos;Property Calculator&apos;!$B$101-(IF(7=1,&apos;Property Calculator&apos;!$B$58,0))))+IF(7=&apos;Property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-1805.9942713436462</v></c><c r="AS66" s="106"><f>IF(8&gt;&apos;Property Calculator&apos;!$B$11,0,((&apos;Property Calculator&apos;!$B$82*(1+&apos;Property Calculator&apos;!$B$83)^7)-(&apos;Property Calculator&apos;!$B$93*(1+&apos;Property Calculator&apos;!$B$16)^7)-AJ66-&apos;Property Calculator&apos;!$B$100*((&apos;Property Calculator&apos;!$B$82*(1+&apos;Property Calculator&apos;!$B$83)^7)-(&apos;Property Calculator&apos;!$B$93*(1+&apos;Property Calculator&apos;!$B$16)^7)+(&apos;Property Calculator&apos;!$B$87*(1+&apos;Property Calculator&apos;!$B$16)^1)-(IF(AG66&lt;=0,0,IFERROR(-CUMIPMT(&apos;Property Calculator&apos;!$B$65/12,&apos;Property Calculator&apos;!$B$70*12,AG66,85,96,0),0)))-AI66-&apos;Property Calculator&apos;!$B$101-(IF(8=1,&apos;Property Calculator&apos;!$B$58,0))))+IF(8=&apos;Property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-1781.7072513240366</v></c><c r="AT66" s="106"><f>IF(9&gt;&apos;Property Calculator&apos;!$B$11,0,((&apos;Property Calculator&apos;!$B$82*(1+&apos;Property Calculator&apos;!$B$83)^8)-(&apos;Property Calculator&apos;!$B$93*(1+&apos;Property Calculator&apos;!$B$16)^8)-AJ66-&apos;Property Calculator&apos;!$B$100*((&apos;Property Calculator&apos;!$B$82*(1+&apos;Property Calculator&apos;!$B$83)^8)-(&apos;Property Calculator&apos;!$B$93*(1+&apos;Property Calculator&apos;!$B$16)^8)+(&apos;Property Calculator&apos;!$B$87*(1+&apos;Property Calculator&apos;!$B$16)^1)-(IF(AG66&lt;=0,0,IFERROR(-CUMIPMT(&apos;Property Calculator&apos;!$B$65/12,&apos;Property Calculator&apos;!$B$70*12,AG66,97,108,0),0)))-AI66-&apos;Property Calculator&apos;!$B$101-(IF(9=1,&apos;Property Calculator&apos;!$B$58,0))))+IF(9=&apos;Property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-1758.4041847609424</v></c><c r="AU66" s="106"><f>IF(10&gt;&apos;Property Calculator&apos;!$B$11,0,((&apos;Property Calculator&apos;!$B$82*(1+&apos;Property Calculator&apos;!$B$83)^9)-(&apos;Property Calculator&apos;!$B$93*(1+&apos;Property Calculator&apos;!$B$16)^9)-AJ66-&apos;Property Calculator&apos;!$B$100*((&apos;Property Calculator&apos;!$B$82*(1+&apos;Property Calculator&apos;!$B$83)^9)-(&apos;Property Calculator&apos;!$B$93*(1+&apos;Property Calculator&apos;!$B$16)^9)+(&apos;Property Calculator&apos;!$B$87*(1+&apos;Property Calculator&apos;!$B$16)^1)-(IF(AG66&lt;=0,0,IFERROR(-CUMIPMT(&apos;Property Calculator&apos;!$B$65/12,&apos;Property Calculator&apos;!$B$70*12,AG66,109,120,0),0)))-AI66-&apos;Property Calculator&apos;!$B$101-(IF(10=1,&apos;Property Calculator&apos;!$B$58,0))))+IF(10=&apos;Property Calculator&apos;!$B$11,($AE66*(1+&apos;Property Calculator&apos;!$B$12)^&apos;Property Calculator&apos;!$B$11)-(($AE66*(1+&apos;Property Calculator&apos;!$B$12)^&apos;Property Calculator&apos;!$B$11)*&apos;Exit Analysis&apos;!$B$5)-(IF(&apos;Property Calculator&apos;!$B$11&lt;10,MAX(0,($AE66*(1+&apos;Property Calculator&apos;!$B$12)^&apos;Property Calculator&apos;!$B$11)-($AE66*(1+$AB$7))+&apos;Property Calculator&apos;!$B$11*AI66-(($AE66*(1+&apos;Property Calculator&apos;!$B$12)^&apos;Property Calculator&apos;!$B$11)*&apos;Exit Analysis&apos;!$B$5))*&apos;Property Calculator&apos;!$B$100,0))-(IF(OR(AG66&lt;=0,&apos;Property Calculator&apos;!$B$11&gt;=&apos;Property Calculator&apos;!$B$70),0,IFERROR(PV(&apos;Property Calculator&apos;!$B$65/12,&apos;Property Calculator&apos;!$B$70*12-&apos;Property Calculator&apos;!$B$11*12,-AJ66/12),0))),0))</f><v>143887.25859676136</v></c><c r="AV66" s="37"><f>IFERROR(XIRR(AK66:AU66,&apos;Return Details&apos;!$L$4:$L$14),&quot;—&quot;)</f><v>5.1326176524162298E-2</v></c><c r="AW66" s="106"><f>IF(AND(ISNUMBER(AV66),AV66&gt;=$B$37,AL66&gt;=$B$38,AH66&lt;=$B$39,AF66&gt;&apos;Property Calculator&apos;!$B$63),AE66,0)</f><v>0</v></c><c r="AX66" s="106"><f t="shared" si="4"/>&lt;v&gt;0&lt;/v&gt;&lt;/c&gt;&lt;/row&gt;&lt;row r=&quot;67&quot; spans=&quot;31:50&quot; x14ac:dyDescent=&quot;0.25&quot;&gt;&lt;c r=&quot;AE67&quot; s=&quot;106&quot;&gt;&lt;v&gt;270000&lt;/v&gt;&lt;/c&gt;&lt;c r=&quot;AF67&quot; s=&quot;106&quot;&gt;&lt;f t=&quot;shared&quot; si=&quot;2&quot;/&gt;&lt;v&gt;311189&lt;/v&gt;&lt;/c&gt;&lt;c r=&quot;AG67&quot; s=&quot;106&quot;&gt;&lt;f&gt;MAX(0,AF67-&apos;Property Calculator&apos;!$B$63)</f><v>231189</v></c><c r="AH67" s="37"><f t="shared" si="3"/>&lt;v&gt;0.85625555555555555&lt;/v&gt;&lt;/c&gt;&lt;c r=&quot;AI67&quot; s=&quot;106&quot;&gt;&lt;f&gt;($AE67*(1+$AB$7)*&apos;Property Calculator&apos;!$B$96+&apos;Property Calculator&apos;!$B$59)*&apos;Property Calculator&apos;!$B$98</f><v>4711.8240000000005</v></c><c r="AJ67" s="106"><f>IF(AG67&lt;=0,0,PMT(&apos;Property Calculator&apos;!$B$65/12,&apos;Property Calculator&apos;!$B$70*12,-AG67)*12)</f><v>12457.703079580118</v></c><c r="AK67" s="106"><f>-&apos;Property Calculator&apos;!$B$63</f><v>-80000</v></c><c r="AL67" s="106"><f>IF(1&gt;&apos;Property Calculator&apos;!$B$11,0,((&apos;Property Calculator&apos;!$B$82*(1+&apos;Property Calculator&apos;!$B$83)^0)-(&apos;Property Calculator&apos;!$B$93*(1+&apos;Property Calculator&apos;!$B$16)^0)-AJ67-&apos;Property Calculator&apos;!$B$100*((&apos;Property Calculator&apos;!$B$82*(1+&apos;Property Calculator&apos;!$B$83)^0)-(&apos;Property Calculator&apos;!$B$93*(1+&apos;Property Calculator&apos;!$B$16)^0)+(&apos;Property Calculator&apos;!$B$87*(1+&apos;Property Calculator&apos;!$B$16)^0)-(IF(AG67&lt;=0,0,IFERROR(-CUMIPMT(&apos;Property Calculator&apos;!$B$65/12,&apos;Property Calculator&apos;!$B$70*12,AG67,1,12,0),0)))-AI67-&apos;Property Calculator&apos;!$B$101-(IF(1=1,&apos;Property Calculator&apos;!$B$58,0))))+IF(1=&apos;Property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3984.0369024308675</v></c><c r="AM67" s="106"><f>IF(2&gt;&apos;Property Calculator&apos;!$B$11,0,((&apos;Property Calculator&apos;!$B$82*(1+&apos;Property Calculator&apos;!$B$83)^1)-(&apos;Property Calculator&apos;!$B$93*(1+&apos;Property Calculator&apos;!$B$16)^1)-AJ67-&apos;Property Calculator&apos;!$B$100*((&apos;Property Calculator&apos;!$B$82*(1+&apos;Property Calculator&apos;!$B$83)^1)-(&apos;Property Calculator&apos;!$B$93*(1+&apos;Property Calculator&apos;!$B$16)^1)+(&apos;Property Calculator&apos;!$B$87*(1+&apos;Property Calculator&apos;!$B$16)^1)-(IF(AG67&lt;=0,0,IFERROR(-CUMIPMT(&apos;Property Calculator&apos;!$B$65/12,&apos;Property Calculator&apos;!$B$70*12,AG67,13,24,0),0)))-AI67-&apos;Property Calculator&apos;!$B$101-(IF(2=1,&apos;Property Calculator&apos;!$B$58,0))))+IF(2=&apos;Property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-2298.5947411941393</v></c><c r="AN67" s="106"><f>IF(3&gt;&apos;Property Calculator&apos;!$B$11,0,((&apos;Property Calculator&apos;!$B$82*(1+&apos;Property Calculator&apos;!$B$83)^2)-(&apos;Property Calculator&apos;!$B$93*(1+&apos;Property Calculator&apos;!$B$16)^2)-AJ67-&apos;Property Calculator&apos;!$B$100*((&apos;Property Calculator&apos;!$B$82*(1+&apos;Property Calculator&apos;!$B$83)^2)-(&apos;Property Calculator&apos;!$B$93*(1+&apos;Property Calculator&apos;!$B$16)^2)+(&apos;Property Calculator&apos;!$B$87*(1+&apos;Property Calculator&apos;!$B$16)^1)-(IF(AG67&lt;=0,0,IFERROR(-CUMIPMT(&apos;Property Calculator&apos;!$B$65/12,&apos;Property Calculator&apos;!$B$70*12,AG67,25,36,0),0)))-AI67-&apos;Property Calculator&apos;!$B$101-(IF(3=1,&apos;Property Calculator&apos;!$B$58,0))))+IF(3=&apos;Property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-2273.5646086513284</v></c><c r="AO67" s="106"><f>IF(4&gt;&apos;Property Calculator&apos;!$B$11,0,((&apos;Property Calculator&apos;!$B$82*(1+&apos;Property Calculator&apos;!$B$83)^3)-(&apos;Property Calculator&apos;!$B$93*(1+&apos;Property Calculator&apos;!$B$16)^3)-AJ67-&apos;Property Calculator&apos;!$B$100*((&apos;Property Calculator&apos;!$B$82*(1+&apos;Property Calculator&apos;!$B$83)^3)-(&apos;Property Calculator&apos;!$B$93*(1+&apos;Property Calculator&apos;!$B$16)^3)+(&apos;Property Calculator&apos;!$B$87*(1+&apos;Property Calculator&apos;!$B$16)^1)-(IF(AG67&lt;=0,0,IFERROR(-CUMIPMT(&apos;Property Calculator&apos;!$B$65/12,&apos;Property Calculator&apos;!$B$70*12,AG67,37,48,0),0)))-AI67-&apos;Property Calculator&apos;!$B$101-(IF(4=1,&apos;Property Calculator&apos;!$B$58,0))))+IF(4=&apos;Property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-2249.3297065495044</v></c><c r="AP67" s="106"><f>IF(5&gt;&apos;Property Calculator&apos;!$B$11,0,((&apos;Property Calculator&apos;!$B$82*(1+&apos;Property Calculator&apos;!$B$83)^4)-(&apos;Property Calculator&apos;!$B$93*(1+&apos;Property Calculator&apos;!$B$16)^4)-AJ67-&apos;Property Calculator&apos;!$B$100*((&apos;Property Calculator&apos;!$B$82*(1+&apos;Property Calculator&apos;!$B$83)^4)-(&apos;Property Calculator&apos;!$B$93*(1+&apos;Property Calculator&apos;!$B$16)^4)+(&apos;Property Calculator&apos;!$B$87*(1+&apos;Property Calculator&apos;!$B$16)^1)-(IF(AG67&lt;=0,0,IFERROR(-CUMIPMT(&apos;Property Calculator&apos;!$B$65/12,&apos;Property Calculator&apos;!$B$70*12,AG67,49,60,0),0)))-AI67-&apos;Property Calculator&apos;!$B$101-(IF(5=1,&apos;Property Calculator&apos;!$B$58,0))))+IF(5=&apos;Property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-2225.9496254466194</v></c><c r="AQ67" s="106"><f>IF(6&gt;&apos;Property Calculator&apos;!$B$11,0,((&apos;Property Calculator&apos;!$B$82*(1+&apos;Property Calculator&apos;!$B$83)^5)-(&apos;Property Calculator&apos;!$B$93*(1+&apos;Property Calculator&apos;!$B$16)^5)-AJ67-&apos;Property Calculator&apos;!$B$100*((&apos;Property Calculator&apos;!$B$82*(1+&apos;Property Calculator&apos;!$B$83)^5)-(&apos;Property Calculator&apos;!$B$93*(1+&apos;Property Calculator&apos;!$B$16)^5)+(&apos;Property Calculator&apos;!$B$87*(1+&apos;Property Calculator&apos;!$B$16)^1)-(IF(AG67&lt;=0,0,IFERROR(-CUMIPMT(&apos;Property Calculator&apos;!$B$65/12,&apos;Property Calculator&apos;!$B$70*12,AG67,61,72,0),0)))-AI67-&apos;Property Calculator&apos;!$B$101-(IF(6=1,&apos;Property Calculator&apos;!$B$58,0))))+IF(6=&apos;Property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-2203.4866414157423</v></c><c r="AR67" s="106"><f>IF(7&gt;&apos;Property Calculator&apos;!$B$11,0,((&apos;Property Calculator&apos;!$B$82*(1+&apos;Property Calculator&apos;!$B$83)^6)-(&apos;Property Calculator&apos;!$B$93*(1+&apos;Property Calculator&apos;!$B$16)^6)-AJ67-&apos;Property Calculator&apos;!$B$100*((&apos;Property Calculator&apos;!$B$82*(1+&apos;Property Calculator&apos;!$B$83)^6)-(&apos;Property Calculator&apos;!$B$93*(1+&apos;Property Calculator&apos;!$B$16)^6)+(&apos;Property Calculator&apos;!$B$87*(1+&apos;Property Calculator&apos;!$B$16)^1)-(IF(AG67&lt;=0,0,IFERROR(-CUMIPMT(&apos;Property Calculator&apos;!$B$65/12,&apos;Property Calculator&apos;!$B$70*12,AG67,73,84,0),0)))-AI67-&apos;Property Calculator&apos;!$B$101-(IF(7=1,&apos;Property Calculator&apos;!$B$58,0))))+IF(7=&apos;Property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-2182.005821380058</v></c><c r="AS67" s="106"><f>IF(8&gt;&apos;Property Calculator&apos;!$B$11,0,((&apos;Property Calculator&apos;!$B$82*(1+&apos;Property Calculator&apos;!$B$83)^7)-(&apos;Property Calculator&apos;!$B$93*(1+&apos;Property Calculator&apos;!$B$16)^7)-AJ67-&apos;Property Calculator&apos;!$B$100*((&apos;Property Calculator&apos;!$B$82*(1+&apos;Property Calculator&apos;!$B$83)^7)-(&apos;Property Calculator&apos;!$B$93*(1+&apos;Property Calculator&apos;!$B$16)^7)+(&apos;Property Calculator&apos;!$B$87*(1+&apos;Property Calculator&apos;!$B$16)^1)-(IF(AG67&lt;=0,0,IFERROR(-CUMIPMT(&apos;Property Calculator&apos;!$B$65/12,&apos;Property Calculator&apos;!$B$70*12,AG67,85,96,0),0)))-AI67-&apos;Property Calculator&apos;!$B$101-(IF(8=1,&apos;Property Calculator&apos;!$B$58,0))))+IF(8=&apos;Property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-2161.5751323531563</v></c><c r="AT67" s="106"><f>IF(9&gt;&apos;Property Calculator&apos;!$B$11,0,((&apos;Property Calculator&apos;!$B$82*(1+&apos;Property Calculator&apos;!$B$83)^8)-(&apos;Property Calculator&apos;!$B$93*(1+&apos;Property Calculator&apos;!$B$16)^8)-AJ67-&apos;Property Calculator&apos;!$B$100*((&apos;Property Calculator&apos;!$B$82*(1+&apos;Property Calculator&apos;!$B$83)^8)-(&apos;Property Calculator&apos;!$B$93*(1+&apos;Property Calculator&apos;!$B$16)^8)+(&apos;Property Calculator&apos;!$B$87*(1+&apos;Property Calculator&apos;!$B$16)^1)-(IF(AG67&lt;=0,0,IFERROR(-CUMIPMT(&apos;Property Calculator&apos;!$B$65/12,&apos;Property Calculator&apos;!$B$70*12,AG67,97,108,0),0)))-AI67-&apos;Property Calculator&apos;!$B$101-(IF(9=1,&apos;Property Calculator&apos;!$B$58,0))))+IF(9=&apos;Property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-2142.2655547257318</v></c><c r="AU67" s="106"><f>IF(10&gt;&apos;Property Calculator&apos;!$B$11,0,((&apos;Property Calculator&apos;!$B$82*(1+&apos;Property Calculator&apos;!$B$83)^9)-(&apos;Property Calculator&apos;!$B$93*(1+&apos;Property Calculator&apos;!$B$16)^9)-AJ67-&apos;Property Calculator&apos;!$B$100*((&apos;Property Calculator&apos;!$B$82*(1+&apos;Property Calculator&apos;!$B$83)^9)-(&apos;Property Calculator&apos;!$B$93*(1+&apos;Property Calculator&apos;!$B$16)^9)+(&apos;Property Calculator&apos;!$B$87*(1+&apos;Property Calculator&apos;!$B$16)^1)-(IF(AG67&lt;=0,0,IFERROR(-CUMIPMT(&apos;Property Calculator&apos;!$B$65/12,&apos;Property Calculator&apos;!$B$70*12,AG67,109,120,0),0)))-AI67-&apos;Property Calculator&apos;!$B$101-(IF(10=1,&apos;Property Calculator&apos;!$B$58,0))))+IF(10=&apos;Property Calculator&apos;!$B$11,($AE67*(1+&apos;Property Calculator&apos;!$B$12)^&apos;Property Calculator&apos;!$B$11)-(($AE67*(1+&apos;Property Calculator&apos;!$B$12)^&apos;Property Calculator&apos;!$B$11)*&apos;Exit Analysis&apos;!$B$5)-(IF(&apos;Property Calculator&apos;!$B$11&lt;10,MAX(0,($AE67*(1+&apos;Property Calculator&apos;!$B$12)^&apos;Property Calculator&apos;!$B$11)-($AE67*(1+$AB$7))+&apos;Property Calculator&apos;!$B$11*AI67-(($AE67*(1+&apos;Property Calculator&apos;!$B$12)^&apos;Property Calculator&apos;!$B$11)*&apos;Exit Analysis&apos;!$B$5))*&apos;Property Calculator&apos;!$B$100,0))-(IF(OR(AG67&lt;=0,&apos;Property Calculator&apos;!$B$11&gt;=&apos;Property Calculator&apos;!$B$70),0,IFERROR(PV(&apos;Property Calculator&apos;!$B$65/12,&apos;Property Calculator&apos;!$B$70*12-&apos;Property Calculator&apos;!$B$11*12,-AJ67/12),0))),0))</f><v>147215.11557921558</v></c><c r="AV67" s="37"><f>IFERROR(XIRR(AK67:AU67,&apos;Return Details&apos;!$L$4:$L$14),&quot;—&quot;)</f><v>5.0587472319602964E-2</v></c><c r="AW67" s="106"><f>IF(AND(ISNUMBER(AV67),AV67&gt;=$B$37,AL67&gt;=$B$38,AH67&lt;=$B$39,AF67&gt;&apos;Property Calculator&apos;!$B$63),AE67,0)</f><v>0</v></c><c r="AX67" s="106"><f t="shared" si="4"/>&lt;v&gt;0&lt;/v&gt;&lt;/c&gt;&lt;/row&gt;&lt;row r=&quot;68&quot; spans=&quot;31:50&quot; x14ac:dyDescent=&quot;0.25&quot;&gt;&lt;c r=&quot;AE68&quot; s=&quot;106&quot;&gt;&lt;v&gt;280000&lt;/v&gt;&lt;/c&gt;&lt;c r=&quot;AF68&quot; s=&quot;106&quot;&gt;&lt;f t=&quot;shared&quot; si=&quot;2&quot;/&gt;&lt;v&gt;322096&lt;/v&gt;&lt;/c&gt;&lt;c r=&quot;AG68&quot; s=&quot;106&quot;&gt;&lt;f&gt;MAX(0,AF68-&apos;Property Calculator&apos;!$B$63)</f><v>242096</v></c><c r="AH68" s="37"><f t="shared" si="3"/>&lt;v&gt;0.86462857142857141&lt;/v&gt;&lt;/c&gt;&lt;c r=&quot;AI68&quot; s=&quot;106&quot;&gt;&lt;f&gt;($AE68*(1+$AB$7)*&apos;Property Calculator&apos;!$B$96+&apos;Property Calculator&apos;!$B$59)*&apos;Property Calculator&apos;!$B$98</f><v>4886.3360000000002</v></c><c r="AJ68" s="106"><f>IF(AG68&lt;=0,0,PMT(&apos;Property Calculator&apos;!$B$65/12,&apos;Property Calculator&apos;!$B$70*12,-AG68)*12)</f><v>13045.43072877182</v></c><c r="AK68" s="106"><f>-&apos;Property Calculator&apos;!$B$63</f><v>-80000</v></c><c r="AL68" s="106"><f>IF(1&gt;&apos;Property Calculator&apos;!$B$11,0,((&apos;Property Calculator&apos;!$B$82*(1+&apos;Property Calculator&apos;!$B$83)^0)-(&apos;Property Calculator&apos;!$B$93*(1+&apos;Property Calculator&apos;!$B$16)^0)-AJ68-&apos;Property Calculator&apos;!$B$100*((&apos;Property Calculator&apos;!$B$82*(1+&apos;Property Calculator&apos;!$B$83)^0)-(&apos;Property Calculator&apos;!$B$93*(1+&apos;Property Calculator&apos;!$B$16)^0)+(&apos;Property Calculator&apos;!$B$87*(1+&apos;Property Calculator&apos;!$B$16)^0)-(IF(AG68&lt;=0,0,IFERROR(-CUMIPMT(&apos;Property Calculator&apos;!$B$65/12,&apos;Property Calculator&apos;!$B$70*12,AG68,1,12,0),0)))-AI68-&apos;Property Calculator&apos;!$B$101-(IF(1=1,&apos;Property Calculator&apos;!$B$58,0))))+IF(1=&apos;Property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3628.5358036018279</v></c><c r="AM68" s="106"><f>IF(2&gt;&apos;Property Calculator&apos;!$B$11,0,((&apos;Property Calculator&apos;!$B$82*(1+&apos;Property Calculator&apos;!$B$83)^1)-(&apos;Property Calculator&apos;!$B$93*(1+&apos;Property Calculator&apos;!$B$16)^1)-AJ68-&apos;Property Calculator&apos;!$B$100*((&apos;Property Calculator&apos;!$B$82*(1+&apos;Property Calculator&apos;!$B$83)^1)-(&apos;Property Calculator&apos;!$B$93*(1+&apos;Property Calculator&apos;!$B$16)^1)+(&apos;Property Calculator&apos;!$B$87*(1+&apos;Property Calculator&apos;!$B$16)^1)-(IF(AG68&lt;=0,0,IFERROR(-CUMIPMT(&apos;Property Calculator&apos;!$B$65/12,&apos;Property Calculator&apos;!$B$70*12,AG68,13,24,0),0)))-AI68-&apos;Property Calculator&apos;!$B$101-(IF(2=1,&apos;Property Calculator&apos;!$B$58,0))))+IF(2=&apos;Property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-2657.2226767628927</v></c><c r="AN68" s="106"><f>IF(3&gt;&apos;Property Calculator&apos;!$B$11,0,((&apos;Property Calculator&apos;!$B$82*(1+&apos;Property Calculator&apos;!$B$83)^2)-(&apos;Property Calculator&apos;!$B$93*(1+&apos;Property Calculator&apos;!$B$16)^2)-AJ68-&apos;Property Calculator&apos;!$B$100*((&apos;Property Calculator&apos;!$B$82*(1+&apos;Property Calculator&apos;!$B$83)^2)-(&apos;Property Calculator&apos;!$B$93*(1+&apos;Property Calculator&apos;!$B$16)^2)+(&apos;Property Calculator&apos;!$B$87*(1+&apos;Property Calculator&apos;!$B$16)^1)-(IF(AG68&lt;=0,0,IFERROR(-CUMIPMT(&apos;Property Calculator&apos;!$B$65/12,&apos;Property Calculator&apos;!$B$70*12,AG68,25,36,0),0)))-AI68-&apos;Property Calculator&apos;!$B$101-(IF(3=1,&apos;Property Calculator&apos;!$B$58,0))))+IF(3=&apos;Property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-2635.4305930149876</v></c><c r="AO68" s="106"><f>IF(4&gt;&apos;Property Calculator&apos;!$B$11,0,((&apos;Property Calculator&apos;!$B$82*(1+&apos;Property Calculator&apos;!$B$83)^3)-(&apos;Property Calculator&apos;!$B$93*(1+&apos;Property Calculator&apos;!$B$16)^3)-AJ68-&apos;Property Calculator&apos;!$B$100*((&apos;Property Calculator&apos;!$B$82*(1+&apos;Property Calculator&apos;!$B$83)^3)-(&apos;Property Calculator&apos;!$B$93*(1+&apos;Property Calculator&apos;!$B$16)^3)+(&apos;Property Calculator&apos;!$B$87*(1+&apos;Property Calculator&apos;!$B$16)^1)-(IF(AG68&lt;=0,0,IFERROR(-CUMIPMT(&apos;Property Calculator&apos;!$B$65/12,&apos;Property Calculator&apos;!$B$70*12,AG68,37,48,0),0)))-AI68-&apos;Property Calculator&apos;!$B$101-(IF(4=1,&apos;Property Calculator&apos;!$B$58,0))))+IF(4=&apos;Property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-2614.5489072371956</v></c><c r="AP68" s="106"><f>IF(5&gt;&apos;Property Calculator&apos;!$B$11,0,((&apos;Property Calculator&apos;!$B$82*(1+&apos;Property Calculator&apos;!$B$83)^4)-(&apos;Property Calculator&apos;!$B$93*(1+&apos;Property Calculator&apos;!$B$16)^4)-AJ68-&apos;Property Calculator&apos;!$B$100*((&apos;Property Calculator&apos;!$B$82*(1+&apos;Property Calculator&apos;!$B$83)^4)-(&apos;Property Calculator&apos;!$B$93*(1+&apos;Property Calculator&apos;!$B$16)^4)+(&apos;Property Calculator&apos;!$B$87*(1+&apos;Property Calculator&apos;!$B$16)^1)-(IF(AG68&lt;=0,0,IFERROR(-CUMIPMT(&apos;Property Calculator&apos;!$B$65/12,&apos;Property Calculator&apos;!$B$70*12,AG68,49,60,0),0)))-AI68-&apos;Property Calculator&apos;!$B$101-(IF(5=1,&apos;Property Calculator&apos;!$B$58,0))))+IF(5=&apos;Property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-2594.641306145556</v></c><c r="AQ68" s="106"><f>IF(6&gt;&apos;Property Calculator&apos;!$B$11,0,((&apos;Property Calculator&apos;!$B$82*(1+&apos;Property Calculator&apos;!$B$83)^5)-(&apos;Property Calculator&apos;!$B$93*(1+&apos;Property Calculator&apos;!$B$16)^5)-AJ68-&apos;Property Calculator&apos;!$B$100*((&apos;Property Calculator&apos;!$B$82*(1+&apos;Property Calculator&apos;!$B$83)^5)-(&apos;Property Calculator&apos;!$B$93*(1+&apos;Property Calculator&apos;!$B$16)^5)+(&apos;Property Calculator&apos;!$B$87*(1+&apos;Property Calculator&apos;!$B$16)^1)-(IF(AG68&lt;=0,0,IFERROR(-CUMIPMT(&apos;Property Calculator&apos;!$B$65/12,&apos;Property Calculator&apos;!$B$70*12,AG68,61,72,0),0)))-AI68-&apos;Property Calculator&apos;!$B$101-(IF(6=1,&apos;Property Calculator&apos;!$B$58,0))))+IF(6=&apos;Property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-2575.7743076590905</v></c><c r="AR68" s="106"><f>IF(7&gt;&apos;Property Calculator&apos;!$B$11,0,((&apos;Property Calculator&apos;!$B$82*(1+&apos;Property Calculator&apos;!$B$83)^6)-(&apos;Property Calculator&apos;!$B$93*(1+&apos;Property Calculator&apos;!$B$16)^6)-AJ68-&apos;Property Calculator&apos;!$B$100*((&apos;Property Calculator&apos;!$B$82*(1+&apos;Property Calculator&apos;!$B$83)^6)-(&apos;Property Calculator&apos;!$B$93*(1+&apos;Property Calculator&apos;!$B$16)^6)+(&apos;Property Calculator&apos;!$B$87*(1+&apos;Property Calculator&apos;!$B$16)^1)-(IF(AG68&lt;=0,0,IFERROR(-CUMIPMT(&apos;Property Calculator&apos;!$B$65/12,&apos;Property Calculator&apos;!$B$70*12,AG68,73,84,0),0)))-AI68-&apos;Property Calculator&apos;!$B$101-(IF(7=1,&apos;Property Calculator&apos;!$B$58,0))))+IF(7=&apos;Property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-2558.0173714164703</v></c><c r="AS68" s="106"><f>IF(8&gt;&apos;Property Calculator&apos;!$B$11,0,((&apos;Property Calculator&apos;!$B$82*(1+&apos;Property Calculator&apos;!$B$83)^7)-(&apos;Property Calculator&apos;!$B$93*(1+&apos;Property Calculator&apos;!$B$16)^7)-AJ68-&apos;Property Calculator&apos;!$B$100*((&apos;Property Calculator&apos;!$B$82*(1+&apos;Property Calculator&apos;!$B$83)^7)-(&apos;Property Calculator&apos;!$B$93*(1+&apos;Property Calculator&apos;!$B$16)^7)+(&apos;Property Calculator&apos;!$B$87*(1+&apos;Property Calculator&apos;!$B$16)^1)-(IF(AG68&lt;=0,0,IFERROR(-CUMIPMT(&apos;Property Calculator&apos;!$B$65/12,&apos;Property Calculator&apos;!$B$70*12,AG68,85,96,0),0)))-AI68-&apos;Property Calculator&apos;!$B$101-(IF(8=1,&apos;Property Calculator&apos;!$B$58,0))))+IF(8=&apos;Property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-2541.4430133822766</v></c><c r="AT68" s="106"><f>IF(9&gt;&apos;Property Calculator&apos;!$B$11,0,((&apos;Property Calculator&apos;!$B$82*(1+&apos;Property Calculator&apos;!$B$83)^8)-(&apos;Property Calculator&apos;!$B$93*(1+&apos;Property Calculator&apos;!$B$16)^8)-AJ68-&apos;Property Calculator&apos;!$B$100*((&apos;Property Calculator&apos;!$B$82*(1+&apos;Property Calculator&apos;!$B$83)^8)-(&apos;Property Calculator&apos;!$B$93*(1+&apos;Property Calculator&apos;!$B$16)^8)+(&apos;Property Calculator&apos;!$B$87*(1+&apos;Property Calculator&apos;!$B$16)^1)-(IF(AG68&lt;=0,0,IFERROR(-CUMIPMT(&apos;Property Calculator&apos;!$B$65/12,&apos;Property Calculator&apos;!$B$70*12,AG68,97,108,0),0)))-AI68-&apos;Property Calculator&apos;!$B$101-(IF(9=1,&apos;Property Calculator&apos;!$B$58,0))))+IF(9=&apos;Property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-2526.1269246905222</v></c><c r="AU68" s="106"><f>IF(10&gt;&apos;Property Calculator&apos;!$B$11,0,((&apos;Property Calculator&apos;!$B$82*(1+&apos;Property Calculator&apos;!$B$83)^9)-(&apos;Property Calculator&apos;!$B$93*(1+&apos;Property Calculator&apos;!$B$16)^9)-AJ68-&apos;Property Calculator&apos;!$B$100*((&apos;Property Calculator&apos;!$B$82*(1+&apos;Property Calculator&apos;!$B$83)^9)-(&apos;Property Calculator&apos;!$B$93*(1+&apos;Property Calculator&apos;!$B$16)^9)+(&apos;Property Calculator&apos;!$B$87*(1+&apos;Property Calculator&apos;!$B$16)^1)-(IF(AG68&lt;=0,0,IFERROR(-CUMIPMT(&apos;Property Calculator&apos;!$B$65/12,&apos;Property Calculator&apos;!$B$70*12,AG68,109,120,0),0)))-AI68-&apos;Property Calculator&apos;!$B$101-(IF(10=1,&apos;Property Calculator&apos;!$B$58,0))))+IF(10=&apos;Property Calculator&apos;!$B$11,($AE68*(1+&apos;Property Calculator&apos;!$B$12)^&apos;Property Calculator&apos;!$B$11)-(($AE68*(1+&apos;Property Calculator&apos;!$B$12)^&apos;Property Calculator&apos;!$B$11)*&apos;Exit Analysis&apos;!$B$5)-(IF(&apos;Property Calculator&apos;!$B$11&lt;10,MAX(0,($AE68*(1+&apos;Property Calculator&apos;!$B$12)^&apos;Property Calculator&apos;!$B$11)-($AE68*(1+$AB$7))+&apos;Property Calculator&apos;!$B$11*AI68-(($AE68*(1+&apos;Property Calculator&apos;!$B$12)^&apos;Property Calculator&apos;!$B$11)*&apos;Exit Analysis&apos;!$B$5))*&apos;Property Calculator&apos;!$B$100,0))-(IF(OR(AG68&lt;=0,&apos;Property Calculator&apos;!$B$11&gt;=&apos;Property Calculator&apos;!$B$70),0,IFERROR(PV(&apos;Property Calculator&apos;!$B$65/12,&apos;Property Calculator&apos;!$B$70*12-&apos;Property Calculator&apos;!$B$11*12,-AJ68/12),0))),0))</f><v>150542.97256166986</v></c><c r="AV68" s="37"><f>IFERROR(XIRR(AK68:AU68,&apos;Return Details&apos;!$L$4:$L$14),&quot;—&quot;)</f><v>4.9868425726890556E-2</v></c><c r="AW68" s="106"><f>IF(AND(ISNUMBER(AV68),AV68&gt;=$B$37,AL68&gt;=$B$38,AH68&lt;=$B$39,AF68&gt;&apos;Property Calculator&apos;!$B$63),AE68,0)</f><v>0</v></c><c r="AX68" s="106"><f t="shared" si="4"/>&lt;v&gt;0&lt;/v&gt;&lt;/c&gt;&lt;/row&gt;&lt;row r=&quot;69&quot; spans=&quot;31:50&quot; x14ac:dyDescent=&quot;0.25&quot;&gt;&lt;c r=&quot;AE69&quot; s=&quot;106&quot;&gt;&lt;v&gt;290000&lt;/v&gt;&lt;/c&gt;&lt;c r=&quot;AF69&quot; s=&quot;106&quot;&gt;&lt;f t=&quot;shared&quot; si=&quot;2&quot;/&gt;&lt;v&gt;333003&lt;/v&gt;&lt;/c&gt;&lt;c r=&quot;AG69&quot; s=&quot;106&quot;&gt;&lt;f&gt;MAX(0,AF69-&apos;Property Calculator&apos;!$B$63)</f><v>253003</v></c><c r="AH69" s="37"><f t="shared" si="3"/>&lt;v&gt;0.87242413793103446&lt;/v&gt;&lt;/c&gt;&lt;c r=&quot;AI69&quot; s=&quot;106&quot;&gt;&lt;f&gt;($AE69*(1+$AB$7)*&apos;Property Calculator&apos;!$B$96+&apos;Property Calculator&apos;!$B$59)*&apos;Property Calculator&apos;!$B$98</f><v>5060.8480000000009</v></c><c r="AJ69" s="106"><f>IF(AG69&lt;=0,0,PMT(&apos;Property Calculator&apos;!$B$65/12,&apos;Property Calculator&apos;!$B$70*12,-AG69)*12)</f><v>13633.158377963524</v></c><c r="AK69" s="106"><f>-&apos;Property Calculator&apos;!$B$63</f><v>-80000</v></c><c r="AL69" s="106"><f>IF(1&gt;&apos;Property Calculator&apos;!$B$11,0,((&apos;Property Calculator&apos;!$B$82*(1+&apos;Property Calculator&apos;!$B$83)^0)-(&apos;Property Calculator&apos;!$B$93*(1+&apos;Property Calculator&apos;!$B$16)^0)-AJ69-&apos;Property Calculator&apos;!$B$100*((&apos;Property Calculator&apos;!$B$82*(1+&apos;Property Calculator&apos;!$B$83)^0)-(&apos;Property Calculator&apos;!$B$93*(1+&apos;Property Calculator&apos;!$B$16)^0)+(&apos;Property Calculator&apos;!$B$87*(1+&apos;Property Calculator&apos;!$B$16)^0)-(IF(AG69&lt;=0,0,IFERROR(-CUMIPMT(&apos;Property Calculator&apos;!$B$65/12,&apos;Property Calculator&apos;!$B$70*12,AG69,1,12,0),0)))-AI69-&apos;Property Calculator&apos;!$B$101-(IF(1=1,&apos;Property Calculator&apos;!$B$58,0))))+IF(1=&apos;Property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3273.0347047727882</v></c><c r="AM69" s="106"><f>IF(2&gt;&apos;Property Calculator&apos;!$B$11,0,((&apos;Property Calculator&apos;!$B$82*(1+&apos;Property Calculator&apos;!$B$83)^1)-(&apos;Property Calculator&apos;!$B$93*(1+&apos;Property Calculator&apos;!$B$16)^1)-AJ69-&apos;Property Calculator&apos;!$B$100*((&apos;Property Calculator&apos;!$B$82*(1+&apos;Property Calculator&apos;!$B$83)^1)-(&apos;Property Calculator&apos;!$B$93*(1+&apos;Property Calculator&apos;!$B$16)^1)+(&apos;Property Calculator&apos;!$B$87*(1+&apos;Property Calculator&apos;!$B$16)^1)-(IF(AG69&lt;=0,0,IFERROR(-CUMIPMT(&apos;Property Calculator&apos;!$B$65/12,&apos;Property Calculator&apos;!$B$70*12,AG69,13,24,0),0)))-AI69-&apos;Property Calculator&apos;!$B$101-(IF(2=1,&apos;Property Calculator&apos;!$B$58,0))))+IF(2=&apos;Property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-3015.850612331647</v></c><c r="AN69" s="106"><f>IF(3&gt;&apos;Property Calculator&apos;!$B$11,0,((&apos;Property Calculator&apos;!$B$82*(1+&apos;Property Calculator&apos;!$B$83)^2)-(&apos;Property Calculator&apos;!$B$93*(1+&apos;Property Calculator&apos;!$B$16)^2)-AJ69-&apos;Property Calculator&apos;!$B$100*((&apos;Property Calculator&apos;!$B$82*(1+&apos;Property Calculator&apos;!$B$83)^2)-(&apos;Property Calculator&apos;!$B$93*(1+&apos;Property Calculator&apos;!$B$16)^2)+(&apos;Property Calculator&apos;!$B$87*(1+&apos;Property Calculator&apos;!$B$16)^1)-(IF(AG69&lt;=0,0,IFERROR(-CUMIPMT(&apos;Property Calculator&apos;!$B$65/12,&apos;Property Calculator&apos;!$B$70*12,AG69,25,36,0),0)))-AI69-&apos;Property Calculator&apos;!$B$101-(IF(3=1,&apos;Property Calculator&apos;!$B$58,0))))+IF(3=&apos;Property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-2997.2965773786477</v></c><c r="AO69" s="106"><f>IF(4&gt;&apos;Property Calculator&apos;!$B$11,0,((&apos;Property Calculator&apos;!$B$82*(1+&apos;Property Calculator&apos;!$B$83)^3)-(&apos;Property Calculator&apos;!$B$93*(1+&apos;Property Calculator&apos;!$B$16)^3)-AJ69-&apos;Property Calculator&apos;!$B$100*((&apos;Property Calculator&apos;!$B$82*(1+&apos;Property Calculator&apos;!$B$83)^3)-(&apos;Property Calculator&apos;!$B$93*(1+&apos;Property Calculator&apos;!$B$16)^3)+(&apos;Property Calculator&apos;!$B$87*(1+&apos;Property Calculator&apos;!$B$16)^1)-(IF(AG69&lt;=0,0,IFERROR(-CUMIPMT(&apos;Property Calculator&apos;!$B$65/12,&apos;Property Calculator&apos;!$B$70*12,AG69,37,48,0),0)))-AI69-&apos;Property Calculator&apos;!$B$101-(IF(4=1,&apos;Property Calculator&apos;!$B$58,0))))+IF(4=&apos;Property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-2979.7681079248869</v></c><c r="AP69" s="106"><f>IF(5&gt;&apos;Property Calculator&apos;!$B$11,0,((&apos;Property Calculator&apos;!$B$82*(1+&apos;Property Calculator&apos;!$B$83)^4)-(&apos;Property Calculator&apos;!$B$93*(1+&apos;Property Calculator&apos;!$B$16)^4)-AJ69-&apos;Property Calculator&apos;!$B$100*((&apos;Property Calculator&apos;!$B$82*(1+&apos;Property Calculator&apos;!$B$83)^4)-(&apos;Property Calculator&apos;!$B$93*(1+&apos;Property Calculator&apos;!$B$16)^4)+(&apos;Property Calculator&apos;!$B$87*(1+&apos;Property Calculator&apos;!$B$16)^1)-(IF(AG69&lt;=0,0,IFERROR(-CUMIPMT(&apos;Property Calculator&apos;!$B$65/12,&apos;Property Calculator&apos;!$B$70*12,AG69,49,60,0),0)))-AI69-&apos;Property Calculator&apos;!$B$101-(IF(5=1,&apos;Property Calculator&apos;!$B$58,0))))+IF(5=&apos;Property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-2963.3329868444935</v></c><c r="AQ69" s="106"><f>IF(6&gt;&apos;Property Calculator&apos;!$B$11,0,((&apos;Property Calculator&apos;!$B$82*(1+&apos;Property Calculator&apos;!$B$83)^5)-(&apos;Property Calculator&apos;!$B$93*(1+&apos;Property Calculator&apos;!$B$16)^5)-AJ69-&apos;Property Calculator&apos;!$B$100*((&apos;Property Calculator&apos;!$B$82*(1+&apos;Property Calculator&apos;!$B$83)^5)-(&apos;Property Calculator&apos;!$B$93*(1+&apos;Property Calculator&apos;!$B$16)^5)+(&apos;Property Calculator&apos;!$B$87*(1+&apos;Property Calculator&apos;!$B$16)^1)-(IF(AG69&lt;=0,0,IFERROR(-CUMIPMT(&apos;Property Calculator&apos;!$B$65/12,&apos;Property Calculator&apos;!$B$70*12,AG69,61,72,0),0)))-AI69-&apos;Property Calculator&apos;!$B$101-(IF(6=1,&apos;Property Calculator&apos;!$B$58,0))))+IF(6=&apos;Property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-2948.0619739024391</v></c><c r="AR69" s="106"><f>IF(7&gt;&apos;Property Calculator&apos;!$B$11,0,((&apos;Property Calculator&apos;!$B$82*(1+&apos;Property Calculator&apos;!$B$83)^6)-(&apos;Property Calculator&apos;!$B$93*(1+&apos;Property Calculator&apos;!$B$16)^6)-AJ69-&apos;Property Calculator&apos;!$B$100*((&apos;Property Calculator&apos;!$B$82*(1+&apos;Property Calculator&apos;!$B$83)^6)-(&apos;Property Calculator&apos;!$B$93*(1+&apos;Property Calculator&apos;!$B$16)^6)+(&apos;Property Calculator&apos;!$B$87*(1+&apos;Property Calculator&apos;!$B$16)^1)-(IF(AG69&lt;=0,0,IFERROR(-CUMIPMT(&apos;Property Calculator&apos;!$B$65/12,&apos;Property Calculator&apos;!$B$70*12,AG69,73,84,0),0)))-AI69-&apos;Property Calculator&apos;!$B$101-(IF(7=1,&apos;Property Calculator&apos;!$B$58,0))))+IF(7=&apos;Property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-2934.0289214528825</v></c><c r="AS69" s="106"><f>IF(8&gt;&apos;Property Calculator&apos;!$B$11,0,((&apos;Property Calculator&apos;!$B$82*(1+&apos;Property Calculator&apos;!$B$83)^7)-(&apos;Property Calculator&apos;!$B$93*(1+&apos;Property Calculator&apos;!$B$16)^7)-AJ69-&apos;Property Calculator&apos;!$B$100*((&apos;Property Calculator&apos;!$B$82*(1+&apos;Property Calculator&apos;!$B$83)^7)-(&apos;Property Calculator&apos;!$B$93*(1+&apos;Property Calculator&apos;!$B$16)^7)+(&apos;Property Calculator&apos;!$B$87*(1+&apos;Property Calculator&apos;!$B$16)^1)-(IF(AG69&lt;=0,0,IFERROR(-CUMIPMT(&apos;Property Calculator&apos;!$B$65/12,&apos;Property Calculator&apos;!$B$70*12,AG69,85,96,0),0)))-AI69-&apos;Property Calculator&apos;!$B$101-(IF(8=1,&apos;Property Calculator&apos;!$B$58,0))))+IF(8=&apos;Property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-2921.3108944113978</v></c><c r="AT69" s="106"><f>IF(9&gt;&apos;Property Calculator&apos;!$B$11,0,((&apos;Property Calculator&apos;!$B$82*(1+&apos;Property Calculator&apos;!$B$83)^8)-(&apos;Property Calculator&apos;!$B$93*(1+&apos;Property Calculator&apos;!$B$16)^8)-AJ69-&apos;Property Calculator&apos;!$B$100*((&apos;Property Calculator&apos;!$B$82*(1+&apos;Property Calculator&apos;!$B$83)^8)-(&apos;Property Calculator&apos;!$B$93*(1+&apos;Property Calculator&apos;!$B$16)^8)+(&apos;Property Calculator&apos;!$B$87*(1+&apos;Property Calculator&apos;!$B$16)^1)-(IF(AG69&lt;=0,0,IFERROR(-CUMIPMT(&apos;Property Calculator&apos;!$B$65/12,&apos;Property Calculator&apos;!$B$70*12,AG69,97,108,0),0)))-AI69-&apos;Property Calculator&apos;!$B$101-(IF(9=1,&apos;Property Calculator&apos;!$B$58,0))))+IF(9=&apos;Property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-2909.9882946553134</v></c><c r="AU69" s="106"><f>IF(10&gt;&apos;Property Calculator&apos;!$B$11,0,((&apos;Property Calculator&apos;!$B$82*(1+&apos;Property Calculator&apos;!$B$83)^9)-(&apos;Property Calculator&apos;!$B$93*(1+&apos;Property Calculator&apos;!$B$16)^9)-AJ69-&apos;Property Calculator&apos;!$B$100*((&apos;Property Calculator&apos;!$B$82*(1+&apos;Property Calculator&apos;!$B$83)^9)-(&apos;Property Calculator&apos;!$B$93*(1+&apos;Property Calculator&apos;!$B$16)^9)+(&apos;Property Calculator&apos;!$B$87*(1+&apos;Property Calculator&apos;!$B$16)^1)-(IF(AG69&lt;=0,0,IFERROR(-CUMIPMT(&apos;Property Calculator&apos;!$B$65/12,&apos;Property Calculator&apos;!$B$70*12,AG69,109,120,0),0)))-AI69-&apos;Property Calculator&apos;!$B$101-(IF(10=1,&apos;Property Calculator&apos;!$B$58,0))))+IF(10=&apos;Property Calculator&apos;!$B$11,($AE69*(1+&apos;Property Calculator&apos;!$B$12)^&apos;Property Calculator&apos;!$B$11)-(($AE69*(1+&apos;Property Calculator&apos;!$B$12)^&apos;Property Calculator&apos;!$B$11)*&apos;Exit Analysis&apos;!$B$5)-(IF(&apos;Property Calculator&apos;!$B$11&lt;10,MAX(0,($AE69*(1+&apos;Property Calculator&apos;!$B$12)^&apos;Property Calculator&apos;!$B$11)-($AE69*(1+$AB$7))+&apos;Property Calculator&apos;!$B$11*AI69-(($AE69*(1+&apos;Property Calculator&apos;!$B$12)^&apos;Property Calculator&apos;!$B$11)*&apos;Exit Analysis&apos;!$B$5))*&apos;Property Calculator&apos;!$B$100,0))-(IF(OR(AG69&lt;=0,&apos;Property Calculator&apos;!$B$11&gt;=&apos;Property Calculator&apos;!$B$70),0,IFERROR(PV(&apos;Property Calculator&apos;!$B$65/12,&apos;Property Calculator&apos;!$B$70*12-&apos;Property Calculator&apos;!$B$11*12,-AJ69/12),0))),0))</f><v>153870.82954412419</v></c><c r="AV69" s="37"><f>IFERROR(XIRR(AK69:AU69,&apos;Return Details&apos;!$L$4:$L$14),&quot;—&quot;)</f><v>4.916833341121675E-2</v></c><c r="AW69" s="106"><f>IF(AND(ISNUMBER(AV69),AV69&gt;=$B$37,AL69&gt;=$B$38,AH69&lt;=$B$39,AF69&gt;&apos;Property Calculator&apos;!$B$63),AE69,0)</f><v>0</v></c><c r="AX69" s="106"><f t="shared" si="4"/>&lt;v&gt;0&lt;/v&gt;&lt;/c&gt;&lt;/row&gt;&lt;row r=&quot;70&quot; spans=&quot;31:50&quot; x14ac:dyDescent=&quot;0.25&quot;&gt;&lt;c r=&quot;AE70&quot; s=&quot;106&quot;&gt;&lt;v&gt;300000&lt;/v&gt;&lt;/c&gt;&lt;c r=&quot;AF70&quot; s=&quot;106&quot;&gt;&lt;f t=&quot;shared&quot; si=&quot;2&quot;/&gt;&lt;v&gt;343910&lt;/v&gt;&lt;/c&gt;&lt;c r=&quot;AG70&quot; s=&quot;106&quot;&gt;&lt;f&gt;MAX(0,AF70-&apos;Property Calculator&apos;!$B$63)</f><v>263910</v></c><c r="AH70" s="37"><f t="shared" si="3"/>&lt;v&gt;0.87970000000000004&lt;/v&gt;&lt;/c&gt;&lt;c r=&quot;AI70&quot; s=&quot;106&quot;&gt;&lt;f&gt;($AE70*(1+$AB$7)*&apos;Property Calculator&apos;!$B$96+&apos;Property Calculator&apos;!$B$59)*&apos;Property Calculator&apos;!$B$98</f><v>5235.3599999999997</v></c><c r="AJ70" s="106"><f>IF(AG70&lt;=0,0,PMT(&apos;Property Calculator&apos;!$B$65/12,&apos;Property Calculator&apos;!$B$70*12,-AG70)*12)</f><v>14220.886027155226</v></c><c r="AK70" s="106"><f>-&apos;Property Calculator&apos;!$B$63</f><v>-80000</v></c><c r="AL70" s="106"><f>IF(1&gt;&apos;Property Calculator&apos;!$B$11,0,((&apos;Property Calculator&apos;!$B$82*(1+&apos;Property Calculator&apos;!$B$83)^0)-(&apos;Property Calculator&apos;!$B$93*(1+&apos;Property Calculator&apos;!$B$16)^0)-AJ70-&apos;Property Calculator&apos;!$B$100*((&apos;Property Calculator&apos;!$B$82*(1+&apos;Property Calculator&apos;!$B$83)^0)-(&apos;Property Calculator&apos;!$B$93*(1+&apos;Property Calculator&apos;!$B$16)^0)+(&apos;Property Calculator&apos;!$B$87*(1+&apos;Property Calculator&apos;!$B$16)^0)-(IF(AG70&lt;=0,0,IFERROR(-CUMIPMT(&apos;Property Calculator&apos;!$B$65/12,&apos;Property Calculator&apos;!$B$70*12,AG70,1,12,0),0)))-AI70-&apos;Property Calculator&apos;!$B$101-(IF(1=1,&apos;Property Calculator&apos;!$B$58,0))))+IF(1=&apos;Property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2917.5336059437504</v></c><c r="AM70" s="106"><f>IF(2&gt;&apos;Property Calculator&apos;!$B$11,0,((&apos;Property Calculator&apos;!$B$82*(1+&apos;Property Calculator&apos;!$B$83)^1)-(&apos;Property Calculator&apos;!$B$93*(1+&apos;Property Calculator&apos;!$B$16)^1)-AJ70-&apos;Property Calculator&apos;!$B$100*((&apos;Property Calculator&apos;!$B$82*(1+&apos;Property Calculator&apos;!$B$83)^1)-(&apos;Property Calculator&apos;!$B$93*(1+&apos;Property Calculator&apos;!$B$16)^1)+(&apos;Property Calculator&apos;!$B$87*(1+&apos;Property Calculator&apos;!$B$16)^1)-(IF(AG70&lt;=0,0,IFERROR(-CUMIPMT(&apos;Property Calculator&apos;!$B$65/12,&apos;Property Calculator&apos;!$B$70*12,AG70,13,24,0),0)))-AI70-&apos;Property Calculator&apos;!$B$101-(IF(2=1,&apos;Property Calculator&apos;!$B$58,0))))+IF(2=&apos;Property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-3374.4785479004013</v></c><c r="AN70" s="106"><f>IF(3&gt;&apos;Property Calculator&apos;!$B$11,0,((&apos;Property Calculator&apos;!$B$82*(1+&apos;Property Calculator&apos;!$B$83)^2)-(&apos;Property Calculator&apos;!$B$93*(1+&apos;Property Calculator&apos;!$B$16)^2)-AJ70-&apos;Property Calculator&apos;!$B$100*((&apos;Property Calculator&apos;!$B$82*(1+&apos;Property Calculator&apos;!$B$83)^2)-(&apos;Property Calculator&apos;!$B$93*(1+&apos;Property Calculator&apos;!$B$16)^2)+(&apos;Property Calculator&apos;!$B$87*(1+&apos;Property Calculator&apos;!$B$16)^1)-(IF(AG70&lt;=0,0,IFERROR(-CUMIPMT(&apos;Property Calculator&apos;!$B$65/12,&apos;Property Calculator&apos;!$B$70*12,AG70,25,36,0),0)))-AI70-&apos;Property Calculator&apos;!$B$101-(IF(3=1,&apos;Property Calculator&apos;!$B$58,0))))+IF(3=&apos;Property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-3359.1625617423069</v></c><c r="AO70" s="106"><f>IF(4&gt;&apos;Property Calculator&apos;!$B$11,0,((&apos;Property Calculator&apos;!$B$82*(1+&apos;Property Calculator&apos;!$B$83)^3)-(&apos;Property Calculator&apos;!$B$93*(1+&apos;Property Calculator&apos;!$B$16)^3)-AJ70-&apos;Property Calculator&apos;!$B$100*((&apos;Property Calculator&apos;!$B$82*(1+&apos;Property Calculator&apos;!$B$83)^3)-(&apos;Property Calculator&apos;!$B$93*(1+&apos;Property Calculator&apos;!$B$16)^3)+(&apos;Property Calculator&apos;!$B$87*(1+&apos;Property Calculator&apos;!$B$16)^1)-(IF(AG70&lt;=0,0,IFERROR(-CUMIPMT(&apos;Property Calculator&apos;!$B$65/12,&apos;Property Calculator&apos;!$B$70*12,AG70,37,48,0),0)))-AI70-&apos;Property Calculator&apos;!$B$101-(IF(4=1,&apos;Property Calculator&apos;!$B$58,0))))+IF(4=&apos;Property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-3344.9873086125785</v></c><c r="AP70" s="106"><f>IF(5&gt;&apos;Property Calculator&apos;!$B$11,0,((&apos;Property Calculator&apos;!$B$82*(1+&apos;Property Calculator&apos;!$B$83)^4)-(&apos;Property Calculator&apos;!$B$93*(1+&apos;Property Calculator&apos;!$B$16)^4)-AJ70-&apos;Property Calculator&apos;!$B$100*((&apos;Property Calculator&apos;!$B$82*(1+&apos;Property Calculator&apos;!$B$83)^4)-(&apos;Property Calculator&apos;!$B$93*(1+&apos;Property Calculator&apos;!$B$16)^4)+(&apos;Property Calculator&apos;!$B$87*(1+&apos;Property Calculator&apos;!$B$16)^1)-(IF(AG70&lt;=0,0,IFERROR(-CUMIPMT(&apos;Property Calculator&apos;!$B$65/12,&apos;Property Calculator&apos;!$B$70*12,AG70,49,60,0),0)))-AI70-&apos;Property Calculator&apos;!$B$101-(IF(5=1,&apos;Property Calculator&apos;!$B$58,0))))+IF(5=&apos;Property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-3332.02466754343</v></c><c r="AQ70" s="106"><f>IF(6&gt;&apos;Property Calculator&apos;!$B$11,0,((&apos;Property Calculator&apos;!$B$82*(1+&apos;Property Calculator&apos;!$B$83)^5)-(&apos;Property Calculator&apos;!$B$93*(1+&apos;Property Calculator&apos;!$B$16)^5)-AJ70-&apos;Property Calculator&apos;!$B$100*((&apos;Property Calculator&apos;!$B$82*(1+&apos;Property Calculator&apos;!$B$83)^5)-(&apos;Property Calculator&apos;!$B$93*(1+&apos;Property Calculator&apos;!$B$16)^5)+(&apos;Property Calculator&apos;!$B$87*(1+&apos;Property Calculator&apos;!$B$16)^1)-(IF(AG70&lt;=0,0,IFERROR(-CUMIPMT(&apos;Property Calculator&apos;!$B$65/12,&apos;Property Calculator&apos;!$B$70*12,AG70,61,72,0),0)))-AI70-&apos;Property Calculator&apos;!$B$101-(IF(6=1,&apos;Property Calculator&apos;!$B$58,0))))+IF(6=&apos;Property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-3320.3496401457878</v></c><c r="AR70" s="106"><f>IF(7&gt;&apos;Property Calculator&apos;!$B$11,0,((&apos;Property Calculator&apos;!$B$82*(1+&apos;Property Calculator&apos;!$B$83)^6)-(&apos;Property Calculator&apos;!$B$93*(1+&apos;Property Calculator&apos;!$B$16)^6)-AJ70-&apos;Property Calculator&apos;!$B$100*((&apos;Property Calculator&apos;!$B$82*(1+&apos;Property Calculator&apos;!$B$83)^6)-(&apos;Property Calculator&apos;!$B$93*(1+&apos;Property Calculator&apos;!$B$16)^6)+(&apos;Property Calculator&apos;!$B$87*(1+&apos;Property Calculator&apos;!$B$16)^1)-(IF(AG70&lt;=0,0,IFERROR(-CUMIPMT(&apos;Property Calculator&apos;!$B$65/12,&apos;Property Calculator&apos;!$B$70*12,AG70,73,84,0),0)))-AI70-&apos;Property Calculator&apos;!$B$101-(IF(7=1,&apos;Property Calculator&apos;!$B$58,0))))+IF(7=&apos;Property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-3310.0404714892952</v></c><c r="AS70" s="106"><f>IF(8&gt;&apos;Property Calculator&apos;!$B$11,0,((&apos;Property Calculator&apos;!$B$82*(1+&apos;Property Calculator&apos;!$B$83)^7)-(&apos;Property Calculator&apos;!$B$93*(1+&apos;Property Calculator&apos;!$B$16)^7)-AJ70-&apos;Property Calculator&apos;!$B$100*((&apos;Property Calculator&apos;!$B$82*(1+&apos;Property Calculator&apos;!$B$83)^7)-(&apos;Property Calculator&apos;!$B$93*(1+&apos;Property Calculator&apos;!$B$16)^7)+(&apos;Property Calculator&apos;!$B$87*(1+&apos;Property Calculator&apos;!$B$16)^1)-(IF(AG70&lt;=0,0,IFERROR(-CUMIPMT(&apos;Property Calculator&apos;!$B$65/12,&apos;Property Calculator&apos;!$B$70*12,AG70,85,96,0),0)))-AI70-&apos;Property Calculator&apos;!$B$101-(IF(8=1,&apos;Property Calculator&apos;!$B$58,0))))+IF(8=&apos;Property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-3301.1787754405182</v></c><c r="AT70" s="106"><f>IF(9&gt;&apos;Property Calculator&apos;!$B$11,0,((&apos;Property Calculator&apos;!$B$82*(1+&apos;Property Calculator&apos;!$B$83)^8)-(&apos;Property Calculator&apos;!$B$93*(1+&apos;Property Calculator&apos;!$B$16)^8)-AJ70-&apos;Property Calculator&apos;!$B$100*((&apos;Property Calculator&apos;!$B$82*(1+&apos;Property Calculator&apos;!$B$83)^8)-(&apos;Property Calculator&apos;!$B$93*(1+&apos;Property Calculator&apos;!$B$16)^8)+(&apos;Property Calculator&apos;!$B$87*(1+&apos;Property Calculator&apos;!$B$16)^1)-(IF(AG70&lt;=0,0,IFERROR(-CUMIPMT(&apos;Property Calculator&apos;!$B$65/12,&apos;Property Calculator&apos;!$B$70*12,AG70,97,108,0),0)))-AI70-&apos;Property Calculator&apos;!$B$101-(IF(9=1,&apos;Property Calculator&apos;!$B$58,0))))+IF(9=&apos;Property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-3293.8496646201033</v></c><c r="AU70" s="106"><f>IF(10&gt;&apos;Property Calculator&apos;!$B$11,0,((&apos;Property Calculator&apos;!$B$82*(1+&apos;Property Calculator&apos;!$B$83)^9)-(&apos;Property Calculator&apos;!$B$93*(1+&apos;Property Calculator&apos;!$B$16)^9)-AJ70-&apos;Property Calculator&apos;!$B$100*((&apos;Property Calculator&apos;!$B$82*(1+&apos;Property Calculator&apos;!$B$83)^9)-(&apos;Property Calculator&apos;!$B$93*(1+&apos;Property Calculator&apos;!$B$16)^9)+(&apos;Property Calculator&apos;!$B$87*(1+&apos;Property Calculator&apos;!$B$16)^1)-(IF(AG70&lt;=0,0,IFERROR(-CUMIPMT(&apos;Property Calculator&apos;!$B$65/12,&apos;Property Calculator&apos;!$B$70*12,AG70,109,120,0),0)))-AI70-&apos;Property Calculator&apos;!$B$101-(IF(10=1,&apos;Property Calculator&apos;!$B$58,0))))+IF(10=&apos;Property Calculator&apos;!$B$11,($AE70*(1+&apos;Property Calculator&apos;!$B$12)^&apos;Property Calculator&apos;!$B$11)-(($AE70*(1+&apos;Property Calculator&apos;!$B$12)^&apos;Property Calculator&apos;!$B$11)*&apos;Exit Analysis&apos;!$B$5)-(IF(&apos;Property Calculator&apos;!$B$11&lt;10,MAX(0,($AE70*(1+&apos;Property Calculator&apos;!$B$12)^&apos;Property Calculator&apos;!$B$11)-($AE70*(1+$AB$7))+&apos;Property Calculator&apos;!$B$11*AI70-(($AE70*(1+&apos;Property Calculator&apos;!$B$12)^&apos;Property Calculator&apos;!$B$11)*&apos;Exit Analysis&apos;!$B$5))*&apos;Property Calculator&apos;!$B$100,0))-(IF(OR(AG70&lt;=0,&apos;Property Calculator&apos;!$B$11&gt;=&apos;Property Calculator&apos;!$B$70),0,IFERROR(PV(&apos;Property Calculator&apos;!$B$65/12,&apos;Property Calculator&apos;!$B$70*12-&apos;Property Calculator&apos;!$B$11*12,-AJ70/12),0))),0))</f><v>157198.68652657841</v></c><c r="AV70" s="37"><f>IFERROR(XIRR(AK70:AU70,&apos;Return Details&apos;!$L$4:$L$14),&quot;—&quot;)</f><v>4.848650395870209E-2</v></c><c r="AW70" s="106"><f>IF(AND(ISNUMBER(AV70),AV70&gt;=$B$37,AL70&gt;=$B$38,AH70&lt;=$B$39,AF70&gt;&apos;Property Calculator&apos;!$B$63),AE70,0)</f><v>0</v></c><c r="AX70" s="106"><f t="shared" si="4"/>&lt;v&gt;0&lt;/v&gt;&lt;/c&gt;&lt;/row&gt;&lt;row r=&quot;71&quot; spans=&quot;31:50&quot; x14ac:dyDescent=&quot;0.25&quot;&gt;&lt;c r=&quot;AE71&quot; s=&quot;106&quot;&gt;&lt;v&gt;310000&lt;/v&gt;&lt;/c&gt;&lt;c r=&quot;AF71&quot; s=&quot;106&quot;&gt;&lt;f t=&quot;shared&quot; si=&quot;2&quot;/&gt;&lt;v&gt;354817&lt;/v&gt;&lt;/c&gt;&lt;c r=&quot;AG71&quot; s=&quot;106&quot;&gt;&lt;f&gt;MAX(0,AF71-&apos;Property Calculator&apos;!$B$63)</f><v>274817</v></c><c r="AH71" s="37"><f t="shared" si="3"/>&lt;v&gt;0.8865064516129032&lt;/v&gt;&lt;/c&gt;&lt;c r=&quot;AI71&quot; s=&quot;106&quot;&gt;&lt;f&gt;($AE71*(1+$AB$7)*&apos;Property Calculator&apos;!$B$96+&apos;Property Calculator&apos;!$B$59)*&apos;Property Calculator&apos;!$B$98</f><v>5409.8720000000012</v></c><c r="AJ71" s="106"><f>IF(AG71&lt;=0,0,PMT(&apos;Property Calculator&apos;!$B$65/12,&apos;Property Calculator&apos;!$B$70*12,-AG71)*12)</f><v>14808.613676346926</v></c><c r="AK71" s="106"><f>-&apos;Property Calculator&apos;!$B$63</f><v>-80000</v></c><c r="AL71" s="106"><f>IF(1&gt;&apos;Property Calculator&apos;!$B$11,0,((&apos;Property Calculator&apos;!$B$82*(1+&apos;Property Calculator&apos;!$B$83)^0)-(&apos;Property Calculator&apos;!$B$93*(1+&apos;Property Calculator&apos;!$B$16)^0)-AJ71-&apos;Property Calculator&apos;!$B$100*((&apos;Property Calculator&apos;!$B$82*(1+&apos;Property Calculator&apos;!$B$83)^0)-(&apos;Property Calculator&apos;!$B$93*(1+&apos;Property Calculator&apos;!$B$16)^0)+(&apos;Property Calculator&apos;!$B$87*(1+&apos;Property Calculator&apos;!$B$16)^0)-(IF(AG71&lt;=0,0,IFERROR(-CUMIPMT(&apos;Property Calculator&apos;!$B$65/12,&apos;Property Calculator&apos;!$B$70*12,AG71,1,12,0),0)))-AI71-&apos;Property Calculator&apos;!$B$101-(IF(1=1,&apos;Property Calculator&apos;!$B$58,0))))+IF(1=&apos;Property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2562.0325071147126</v></c><c r="AM71" s="106"><f>IF(2&gt;&apos;Property Calculator&apos;!$B$11,0,((&apos;Property Calculator&apos;!$B$82*(1+&apos;Property Calculator&apos;!$B$83)^1)-(&apos;Property Calculator&apos;!$B$93*(1+&apos;Property Calculator&apos;!$B$16)^1)-AJ71-&apos;Property Calculator&apos;!$B$100*((&apos;Property Calculator&apos;!$B$82*(1+&apos;Property Calculator&apos;!$B$83)^1)-(&apos;Property Calculator&apos;!$B$93*(1+&apos;Property Calculator&apos;!$B$16)^1)+(&apos;Property Calculator&apos;!$B$87*(1+&apos;Property Calculator&apos;!$B$16)^1)-(IF(AG71&lt;=0,0,IFERROR(-CUMIPMT(&apos;Property Calculator&apos;!$B$65/12,&apos;Property Calculator&apos;!$B$70*12,AG71,13,24,0),0)))-AI71-&apos;Property Calculator&apos;!$B$101-(IF(2=1,&apos;Property Calculator&apos;!$B$58,0))))+IF(2=&apos;Property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-3733.106483469152</v></c><c r="AN71" s="106"><f>IF(3&gt;&apos;Property Calculator&apos;!$B$11,0,((&apos;Property Calculator&apos;!$B$82*(1+&apos;Property Calculator&apos;!$B$83)^2)-(&apos;Property Calculator&apos;!$B$93*(1+&apos;Property Calculator&apos;!$B$16)^2)-AJ71-&apos;Property Calculator&apos;!$B$100*((&apos;Property Calculator&apos;!$B$82*(1+&apos;Property Calculator&apos;!$B$83)^2)-(&apos;Property Calculator&apos;!$B$93*(1+&apos;Property Calculator&apos;!$B$16)^2)+(&apos;Property Calculator&apos;!$B$87*(1+&apos;Property Calculator&apos;!$B$16)^1)-(IF(AG71&lt;=0,0,IFERROR(-CUMIPMT(&apos;Property Calculator&apos;!$B$65/12,&apos;Property Calculator&apos;!$B$70*12,AG71,25,36,0),0)))-AI71-&apos;Property Calculator&apos;!$B$101-(IF(3=1,&apos;Property Calculator&apos;!$B$58,0))))+IF(3=&apos;Property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-3721.0285461059657</v></c><c r="AO71" s="106"><f>IF(4&gt;&apos;Property Calculator&apos;!$B$11,0,((&apos;Property Calculator&apos;!$B$82*(1+&apos;Property Calculator&apos;!$B$83)^3)-(&apos;Property Calculator&apos;!$B$93*(1+&apos;Property Calculator&apos;!$B$16)^3)-AJ71-&apos;Property Calculator&apos;!$B$100*((&apos;Property Calculator&apos;!$B$82*(1+&apos;Property Calculator&apos;!$B$83)^3)-(&apos;Property Calculator&apos;!$B$93*(1+&apos;Property Calculator&apos;!$B$16)^3)+(&apos;Property Calculator&apos;!$B$87*(1+&apos;Property Calculator&apos;!$B$16)^1)-(IF(AG71&lt;=0,0,IFERROR(-CUMIPMT(&apos;Property Calculator&apos;!$B$65/12,&apos;Property Calculator&apos;!$B$70*12,AG71,37,48,0),0)))-AI71-&apos;Property Calculator&apos;!$B$101-(IF(4=1,&apos;Property Calculator&apos;!$B$58,0))))+IF(4=&apos;Property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-3710.2065093002675</v></c><c r="AP71" s="106"><f>IF(5&gt;&apos;Property Calculator&apos;!$B$11,0,((&apos;Property Calculator&apos;!$B$82*(1+&apos;Property Calculator&apos;!$B$83)^4)-(&apos;Property Calculator&apos;!$B$93*(1+&apos;Property Calculator&apos;!$B$16)^4)-AJ71-&apos;Property Calculator&apos;!$B$100*((&apos;Property Calculator&apos;!$B$82*(1+&apos;Property Calculator&apos;!$B$83)^4)-(&apos;Property Calculator&apos;!$B$93*(1+&apos;Property Calculator&apos;!$B$16)^4)+(&apos;Property Calculator&apos;!$B$87*(1+&apos;Property Calculator&apos;!$B$16)^1)-(IF(AG71&lt;=0,0,IFERROR(-CUMIPMT(&apos;Property Calculator&apos;!$B$65/12,&apos;Property Calculator&apos;!$B$70*12,AG71,49,60,0),0)))-AI71-&apos;Property Calculator&apos;!$B$101-(IF(5=1,&apos;Property Calculator&apos;!$B$58,0))))+IF(5=&apos;Property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-3700.7163482423648</v></c><c r="AQ71" s="106"><f>IF(6&gt;&apos;Property Calculator&apos;!$B$11,0,((&apos;Property Calculator&apos;!$B$82*(1+&apos;Property Calculator&apos;!$B$83)^5)-(&apos;Property Calculator&apos;!$B$93*(1+&apos;Property Calculator&apos;!$B$16)^5)-AJ71-&apos;Property Calculator&apos;!$B$100*((&apos;Property Calculator&apos;!$B$82*(1+&apos;Property Calculator&apos;!$B$83)^5)-(&apos;Property Calculator&apos;!$B$93*(1+&apos;Property Calculator&apos;!$B$16)^5)+(&apos;Property Calculator&apos;!$B$87*(1+&apos;Property Calculator&apos;!$B$16)^1)-(IF(AG71&lt;=0,0,IFERROR(-CUMIPMT(&apos;Property Calculator&apos;!$B$65/12,&apos;Property Calculator&apos;!$B$70*12,AG71,61,72,0),0)))-AI71-&apos;Property Calculator&apos;!$B$101-(IF(6=1,&apos;Property Calculator&apos;!$B$58,0))))+IF(6=&apos;Property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-3692.6373063891338</v></c><c r="AR71" s="106"><f>IF(7&gt;&apos;Property Calculator&apos;!$B$11,0,((&apos;Property Calculator&apos;!$B$82*(1+&apos;Property Calculator&apos;!$B$83)^6)-(&apos;Property Calculator&apos;!$B$93*(1+&apos;Property Calculator&apos;!$B$16)^6)-AJ71-&apos;Property Calculator&apos;!$B$100*((&apos;Property Calculator&apos;!$B$82*(1+&apos;Property Calculator&apos;!$B$83)^6)-(&apos;Property Calculator&apos;!$B$93*(1+&apos;Property Calculator&apos;!$B$16)^6)+(&apos;Property Calculator&apos;!$B$87*(1+&apos;Property Calculator&apos;!$B$16)^1)-(IF(AG71&lt;=0,0,IFERROR(-CUMIPMT(&apos;Property Calculator&apos;!$B$65/12,&apos;Property Calculator&apos;!$B$70*12,AG71,73,84,0),0)))-AI71-&apos;Property Calculator&apos;!$B$101-(IF(7=1,&apos;Property Calculator&apos;!$B$58,0))))+IF(7=&apos;Property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-3686.0520215257056</v></c><c r="AS71" s="106"><f>IF(8&gt;&apos;Property Calculator&apos;!$B$11,0,((&apos;Property Calculator&apos;!$B$82*(1+&apos;Property Calculator&apos;!$B$83)^7)-(&apos;Property Calculator&apos;!$B$93*(1+&apos;Property Calculator&apos;!$B$16)^7)-AJ71-&apos;Property Calculator&apos;!$B$100*((&apos;Property Calculator&apos;!$B$82*(1+&apos;Property Calculator&apos;!$B$83)^7)-(&apos;Property Calculator&apos;!$B$93*(1+&apos;Property Calculator&apos;!$B$16)^7)+(&apos;Property Calculator&apos;!$B$87*(1+&apos;Property Calculator&apos;!$B$16)^1)-(IF(AG71&lt;=0,0,IFERROR(-CUMIPMT(&apos;Property Calculator&apos;!$B$65/12,&apos;Property Calculator&apos;!$B$70*12,AG71,85,96,0),0)))-AI71-&apos;Property Calculator&apos;!$B$101-(IF(8=1,&apos;Property Calculator&apos;!$B$58,0))))+IF(8=&apos;Property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-3681.0466564696371</v></c><c r="AT71" s="106"><f>IF(9&gt;&apos;Property Calculator&apos;!$B$11,0,((&apos;Property Calculator&apos;!$B$82*(1+&apos;Property Calculator&apos;!$B$83)^8)-(&apos;Property Calculator&apos;!$B$93*(1+&apos;Property Calculator&apos;!$B$16)^8)-AJ71-&apos;Property Calculator&apos;!$B$100*((&apos;Property Calculator&apos;!$B$82*(1+&apos;Property Calculator&apos;!$B$83)^8)-(&apos;Property Calculator&apos;!$B$93*(1+&apos;Property Calculator&apos;!$B$16)^8)+(&apos;Property Calculator&apos;!$B$87*(1+&apos;Property Calculator&apos;!$B$16)^1)-(IF(AG71&lt;=0,0,IFERROR(-CUMIPMT(&apos;Property Calculator&apos;!$B$65/12,&apos;Property Calculator&apos;!$B$70*12,AG71,97,108,0),0)))-AI71-&apos;Property Calculator&apos;!$B$101-(IF(9=1,&apos;Property Calculator&apos;!$B$58,0))))+IF(9=&apos;Property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-3677.7110345848914</v></c><c r="AU71" s="106"><f>IF(10&gt;&apos;Property Calculator&apos;!$B$11,0,((&apos;Property Calculator&apos;!$B$82*(1+&apos;Property Calculator&apos;!$B$83)^9)-(&apos;Property Calculator&apos;!$B$93*(1+&apos;Property Calculator&apos;!$B$16)^9)-AJ71-&apos;Property Calculator&apos;!$B$100*((&apos;Property Calculator&apos;!$B$82*(1+&apos;Property Calculator&apos;!$B$83)^9)-(&apos;Property Calculator&apos;!$B$93*(1+&apos;Property Calculator&apos;!$B$16)^9)+(&apos;Property Calculator&apos;!$B$87*(1+&apos;Property Calculator&apos;!$B$16)^1)-(IF(AG71&lt;=0,0,IFERROR(-CUMIPMT(&apos;Property Calculator&apos;!$B$65/12,&apos;Property Calculator&apos;!$B$70*12,AG71,109,120,0),0)))-AI71-&apos;Property Calculator&apos;!$B$101-(IF(10=1,&apos;Property Calculator&apos;!$B$58,0))))+IF(10=&apos;Property Calculator&apos;!$B$11,($AE71*(1+&apos;Property Calculator&apos;!$B$12)^&apos;Property Calculator&apos;!$B$11)-(($AE71*(1+&apos;Property Calculator&apos;!$B$12)^&apos;Property Calculator&apos;!$B$11)*&apos;Exit Analysis&apos;!$B$5)-(IF(&apos;Property Calculator&apos;!$B$11&lt;10,MAX(0,($AE71*(1+&apos;Property Calculator&apos;!$B$12)^&apos;Property Calculator&apos;!$B$11)-($AE71*(1+$AB$7))+&apos;Property Calculator&apos;!$B$11*AI71-(($AE71*(1+&apos;Property Calculator&apos;!$B$12)^&apos;Property Calculator&apos;!$B$11)*&apos;Exit Analysis&apos;!$B$5))*&apos;Property Calculator&apos;!$B$100,0))-(IF(OR(AG71&lt;=0,&apos;Property Calculator&apos;!$B$11&gt;=&apos;Property Calculator&apos;!$B$70),0,IFERROR(PV(&apos;Property Calculator&apos;!$B$65/12,&apos;Property Calculator&apos;!$B$70*12-&apos;Property Calculator&apos;!$B$11*12,-AJ71/12),0))),0))</f><v>160526.54350903264</v></c><c r="AV71" s="37"><f>IFERROR(XIRR(AK71:AU71,&apos;Return Details&apos;!$L$4:$L$14),&quot;—&quot;)</f><v>4.7822281718254089E-2</v></c><c r="AW71" s="106"><f>IF(AND(ISNUMBER(AV71),AV71&gt;=$B$37,AL71&gt;=$B$38,AH71&lt;=$B$39,AF71&gt;&apos;Property Calculator&apos;!$B$63),AE71,0)</f><v>0</v></c><c r="AX71" s="106"><f t="shared" si="4"/>&lt;v&gt;0&lt;/v&gt;&lt;/c&gt;&lt;/row&gt;&lt;row r=&quot;72&quot; spans=&quot;31:50&quot; x14ac:dyDescent=&quot;0.25&quot;&gt;&lt;c r=&quot;AE72&quot; s=&quot;106&quot;&gt;&lt;v&gt;320000&lt;/v&gt;&lt;/c&gt;&lt;c r=&quot;AF72&quot; s=&quot;106&quot;&gt;&lt;f t=&quot;shared&quot; si=&quot;2&quot;/&gt;&lt;v&gt;365724&lt;/v&gt;&lt;/c&gt;&lt;c r=&quot;AG72&quot; s=&quot;106&quot;&gt;&lt;f&gt;MAX(0,AF72-&apos;Property Calculator&apos;!$B$63)</f><v>285724</v></c><c r="AH72" s="37"><f t="shared" si="3"/>&lt;v&gt;0.89288749999999995&lt;/v&gt;&lt;/c&gt;&lt;c r=&quot;AI72&quot; s=&quot;106&quot;&gt;&lt;f&gt;($AE72*(1+$AB$7)*&apos;Property Calculator&apos;!$B$96+&apos;Property Calculator&apos;!$B$59)*&apos;Property Calculator&apos;!$B$98</f><v>5584.384</v></c><c r="AJ72" s="106"><f>IF(AG72&lt;=0,0,PMT(&apos;Property Calculator&apos;!$B$65/12,&apos;Property Calculator&apos;!$B$70*12,-AG72)*12)</f><v>15396.341325538629</v></c><c r="AK72" s="106"><f>-&apos;Property Calculator&apos;!$B$63</f><v>-80000</v></c><c r="AL72" s="106"><f>IF(1&gt;&apos;Property Calculator&apos;!$B$11,0,((&apos;Property Calculator&apos;!$B$82*(1+&apos;Property Calculator&apos;!$B$83)^0)-(&apos;Property Calculator&apos;!$B$93*(1+&apos;Property Calculator&apos;!$B$16)^0)-AJ72-&apos;Property Calculator&apos;!$B$100*((&apos;Property Calculator&apos;!$B$82*(1+&apos;Property Calculator&apos;!$B$83)^0)-(&apos;Property Calculator&apos;!$B$93*(1+&apos;Property Calculator&apos;!$B$16)^0)+(&apos;Property Calculator&apos;!$B$87*(1+&apos;Property Calculator&apos;!$B$16)^0)-(IF(AG72&lt;=0,0,IFERROR(-CUMIPMT(&apos;Property Calculator&apos;!$B$65/12,&apos;Property Calculator&apos;!$B$70*12,AG72,1,12,0),0)))-AI72-&apos;Property Calculator&apos;!$B$101-(IF(1=1,&apos;Property Calculator&apos;!$B$58,0))))+IF(1=&apos;Property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2206.531408285673</v></c><c r="AM72" s="106"><f>IF(2&gt;&apos;Property Calculator&apos;!$B$11,0,((&apos;Property Calculator&apos;!$B$82*(1+&apos;Property Calculator&apos;!$B$83)^1)-(&apos;Property Calculator&apos;!$B$93*(1+&apos;Property Calculator&apos;!$B$16)^1)-AJ72-&apos;Property Calculator&apos;!$B$100*((&apos;Property Calculator&apos;!$B$82*(1+&apos;Property Calculator&apos;!$B$83)^1)-(&apos;Property Calculator&apos;!$B$93*(1+&apos;Property Calculator&apos;!$B$16)^1)+(&apos;Property Calculator&apos;!$B$87*(1+&apos;Property Calculator&apos;!$B$16)^1)-(IF(AG72&lt;=0,0,IFERROR(-CUMIPMT(&apos;Property Calculator&apos;!$B$65/12,&apos;Property Calculator&apos;!$B$70*12,AG72,13,24,0),0)))-AI72-&apos;Property Calculator&apos;!$B$101-(IF(2=1,&apos;Property Calculator&apos;!$B$58,0))))+IF(2=&apos;Property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-4091.7344190379067</v></c><c r="AN72" s="106"><f>IF(3&gt;&apos;Property Calculator&apos;!$B$11,0,((&apos;Property Calculator&apos;!$B$82*(1+&apos;Property Calculator&apos;!$B$83)^2)-(&apos;Property Calculator&apos;!$B$93*(1+&apos;Property Calculator&apos;!$B$16)^2)-AJ72-&apos;Property Calculator&apos;!$B$100*((&apos;Property Calculator&apos;!$B$82*(1+&apos;Property Calculator&apos;!$B$83)^2)-(&apos;Property Calculator&apos;!$B$93*(1+&apos;Property Calculator&apos;!$B$16)^2)+(&apos;Property Calculator&apos;!$B$87*(1+&apos;Property Calculator&apos;!$B$16)^1)-(IF(AG72&lt;=0,0,IFERROR(-CUMIPMT(&apos;Property Calculator&apos;!$B$65/12,&apos;Property Calculator&apos;!$B$70*12,AG72,25,36,0),0)))-AI72-&apos;Property Calculator&apos;!$B$101-(IF(3=1,&apos;Property Calculator&apos;!$B$58,0))))+IF(3=&apos;Property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-4082.8945304696263</v></c><c r="AO72" s="106"><f>IF(4&gt;&apos;Property Calculator&apos;!$B$11,0,((&apos;Property Calculator&apos;!$B$82*(1+&apos;Property Calculator&apos;!$B$83)^3)-(&apos;Property Calculator&apos;!$B$93*(1+&apos;Property Calculator&apos;!$B$16)^3)-AJ72-&apos;Property Calculator&apos;!$B$100*((&apos;Property Calculator&apos;!$B$82*(1+&apos;Property Calculator&apos;!$B$83)^3)-(&apos;Property Calculator&apos;!$B$93*(1+&apos;Property Calculator&apos;!$B$16)^3)+(&apos;Property Calculator&apos;!$B$87*(1+&apos;Property Calculator&apos;!$B$16)^1)-(IF(AG72&lt;=0,0,IFERROR(-CUMIPMT(&apos;Property Calculator&apos;!$B$65/12,&apos;Property Calculator&apos;!$B$70*12,AG72,37,48,0),0)))-AI72-&apos;Property Calculator&apos;!$B$101-(IF(4=1,&apos;Property Calculator&apos;!$B$58,0))))+IF(4=&apos;Property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-4075.4257099879592</v></c><c r="AP72" s="106"><f>IF(5&gt;&apos;Property Calculator&apos;!$B$11,0,((&apos;Property Calculator&apos;!$B$82*(1+&apos;Property Calculator&apos;!$B$83)^4)-(&apos;Property Calculator&apos;!$B$93*(1+&apos;Property Calculator&apos;!$B$16)^4)-AJ72-&apos;Property Calculator&apos;!$B$100*((&apos;Property Calculator&apos;!$B$82*(1+&apos;Property Calculator&apos;!$B$83)^4)-(&apos;Property Calculator&apos;!$B$93*(1+&apos;Property Calculator&apos;!$B$16)^4)+(&apos;Property Calculator&apos;!$B$87*(1+&apos;Property Calculator&apos;!$B$16)^1)-(IF(AG72&lt;=0,0,IFERROR(-CUMIPMT(&apos;Property Calculator&apos;!$B$65/12,&apos;Property Calculator&apos;!$B$70*12,AG72,49,60,0),0)))-AI72-&apos;Property Calculator&apos;!$B$101-(IF(5=1,&apos;Property Calculator&apos;!$B$58,0))))+IF(5=&apos;Property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-4069.4080289413032</v></c><c r="AQ72" s="106"><f>IF(6&gt;&apos;Property Calculator&apos;!$B$11,0,((&apos;Property Calculator&apos;!$B$82*(1+&apos;Property Calculator&apos;!$B$83)^5)-(&apos;Property Calculator&apos;!$B$93*(1+&apos;Property Calculator&apos;!$B$16)^5)-AJ72-&apos;Property Calculator&apos;!$B$100*((&apos;Property Calculator&apos;!$B$82*(1+&apos;Property Calculator&apos;!$B$83)^5)-(&apos;Property Calculator&apos;!$B$93*(1+&apos;Property Calculator&apos;!$B$16)^5)+(&apos;Property Calculator&apos;!$B$87*(1+&apos;Property Calculator&apos;!$B$16)^1)-(IF(AG72&lt;=0,0,IFERROR(-CUMIPMT(&apos;Property Calculator&apos;!$B$65/12,&apos;Property Calculator&apos;!$B$70*12,AG72,61,72,0),0)))-AI72-&apos;Property Calculator&apos;!$B$101-(IF(6=1,&apos;Property Calculator&apos;!$B$58,0))))+IF(6=&apos;Property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-4064.9249726324824</v></c><c r="AR72" s="106"><f>IF(7&gt;&apos;Property Calculator&apos;!$B$11,0,((&apos;Property Calculator&apos;!$B$82*(1+&apos;Property Calculator&apos;!$B$83)^6)-(&apos;Property Calculator&apos;!$B$93*(1+&apos;Property Calculator&apos;!$B$16)^6)-AJ72-&apos;Property Calculator&apos;!$B$100*((&apos;Property Calculator&apos;!$B$82*(1+&apos;Property Calculator&apos;!$B$83)^6)-(&apos;Property Calculator&apos;!$B$93*(1+&apos;Property Calculator&apos;!$B$16)^6)+(&apos;Property Calculator&apos;!$B$87*(1+&apos;Property Calculator&apos;!$B$16)^1)-(IF(AG72&lt;=0,0,IFERROR(-CUMIPMT(&apos;Property Calculator&apos;!$B$65/12,&apos;Property Calculator&apos;!$B$70*12,AG72,73,84,0),0)))-AI72-&apos;Property Calculator&apos;!$B$101-(IF(7=1,&apos;Property Calculator&apos;!$B$58,0))))+IF(7=&apos;Property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-4062.0635715621183</v></c><c r="AS72" s="106"><f>IF(8&gt;&apos;Property Calculator&apos;!$B$11,0,((&apos;Property Calculator&apos;!$B$82*(1+&apos;Property Calculator&apos;!$B$83)^7)-(&apos;Property Calculator&apos;!$B$93*(1+&apos;Property Calculator&apos;!$B$16)^7)-AJ72-&apos;Property Calculator&apos;!$B$100*((&apos;Property Calculator&apos;!$B$82*(1+&apos;Property Calculator&apos;!$B$83)^7)-(&apos;Property Calculator&apos;!$B$93*(1+&apos;Property Calculator&apos;!$B$16)^7)+(&apos;Property Calculator&apos;!$B$87*(1+&apos;Property Calculator&apos;!$B$16)^1)-(IF(AG72&lt;=0,0,IFERROR(-CUMIPMT(&apos;Property Calculator&apos;!$B$65/12,&apos;Property Calculator&apos;!$B$70*12,AG72,85,96,0),0)))-AI72-&apos;Property Calculator&apos;!$B$101-(IF(8=1,&apos;Property Calculator&apos;!$B$58,0))))+IF(8=&apos;Property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-4060.9145374987584</v></c><c r="AT72" s="106"><f>IF(9&gt;&apos;Property Calculator&apos;!$B$11,0,((&apos;Property Calculator&apos;!$B$82*(1+&apos;Property Calculator&apos;!$B$83)^8)-(&apos;Property Calculator&apos;!$B$93*(1+&apos;Property Calculator&apos;!$B$16)^8)-AJ72-&apos;Property Calculator&apos;!$B$100*((&apos;Property Calculator&apos;!$B$82*(1+&apos;Property Calculator&apos;!$B$83)^8)-(&apos;Property Calculator&apos;!$B$93*(1+&apos;Property Calculator&apos;!$B$16)^8)+(&apos;Property Calculator&apos;!$B$87*(1+&apos;Property Calculator&apos;!$B$16)^1)-(IF(AG72&lt;=0,0,IFERROR(-CUMIPMT(&apos;Property Calculator&apos;!$B$65/12,&apos;Property Calculator&apos;!$B$70*12,AG72,97,108,0),0)))-AI72-&apos;Property Calculator&apos;!$B$101-(IF(9=1,&apos;Property Calculator&apos;!$B$58,0))))+IF(9=&apos;Property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-4061.5724045496836</v></c><c r="AU72" s="106"><f>IF(10&gt;&apos;Property Calculator&apos;!$B$11,0,((&apos;Property Calculator&apos;!$B$82*(1+&apos;Property Calculator&apos;!$B$83)^9)-(&apos;Property Calculator&apos;!$B$93*(1+&apos;Property Calculator&apos;!$B$16)^9)-AJ72-&apos;Property Calculator&apos;!$B$100*((&apos;Property Calculator&apos;!$B$82*(1+&apos;Property Calculator&apos;!$B$83)^9)-(&apos;Property Calculator&apos;!$B$93*(1+&apos;Property Calculator&apos;!$B$16)^9)+(&apos;Property Calculator&apos;!$B$87*(1+&apos;Property Calculator&apos;!$B$16)^1)-(IF(AG72&lt;=0,0,IFERROR(-CUMIPMT(&apos;Property Calculator&apos;!$B$65/12,&apos;Property Calculator&apos;!$B$70*12,AG72,109,120,0),0)))-AI72-&apos;Property Calculator&apos;!$B$101-(IF(10=1,&apos;Property Calculator&apos;!$B$58,0))))+IF(10=&apos;Property Calculator&apos;!$B$11,($AE72*(1+&apos;Property Calculator&apos;!$B$12)^&apos;Property Calculator&apos;!$B$11)-(($AE72*(1+&apos;Property Calculator&apos;!$B$12)^&apos;Property Calculator&apos;!$B$11)*&apos;Exit Analysis&apos;!$B$5)-(IF(&apos;Property Calculator&apos;!$B$11&lt;10,MAX(0,($AE72*(1+&apos;Property Calculator&apos;!$B$12)^&apos;Property Calculator&apos;!$B$11)-($AE72*(1+$AB$7))+&apos;Property Calculator&apos;!$B$11*AI72-(($AE72*(1+&apos;Property Calculator&apos;!$B$12)^&apos;Property Calculator&apos;!$B$11)*&apos;Exit Analysis&apos;!$B$5))*&apos;Property Calculator&apos;!$B$100,0))-(IF(OR(AG72&lt;=0,&apos;Property Calculator&apos;!$B$11&gt;=&apos;Property Calculator&apos;!$B$70),0,IFERROR(PV(&apos;Property Calculator&apos;!$B$65/12,&apos;Property Calculator&apos;!$B$70*12-&apos;Property Calculator&apos;!$B$11*12,-AJ72/12),0))),0))</f><v>163854.40049148691</v></c><c r="AV72" s="37"><f>IFERROR(XIRR(AK72:AU72,&apos;Return Details&apos;!$L$4:$L$14),&quot;—&quot;)</f><v>4.7175046801567075E-2</v></c><c r="AW72" s="106"><f>IF(AND(ISNUMBER(AV72),AV72&gt;=$B$37,AL72&gt;=$B$38,AH72&lt;=$B$39,AF72&gt;&apos;Property Calculator&apos;!$B$63),AE72,0)</f><v>0</v></c><c r="AX72" s="106"><f t="shared" si="4"/>&lt;v&gt;0&lt;/v&gt;&lt;/c&gt;&lt;/row&gt;&lt;row r=&quot;73&quot; spans=&quot;31:50&quot; x14ac:dyDescent=&quot;0.25&quot;&gt;&lt;c r=&quot;AE73&quot; s=&quot;106&quot;&gt;&lt;v&gt;330000&lt;/v&gt;&lt;/c&gt;&lt;c r=&quot;AF73&quot; s=&quot;106&quot;&gt;&lt;f t=&quot;shared&quot; si=&quot;2&quot;/&gt;&lt;v&gt;376631&lt;/v&gt;&lt;/c&gt;&lt;c r=&quot;AG73&quot; s=&quot;106&quot;&gt;&lt;f&gt;MAX(0,AF73-&apos;Property Calculator&apos;!$B$63)</f><v>296631</v></c><c r="AH73" s="37"><f t="shared" si="3"/>&lt;v&gt;0.89888181818181823&lt;/v&gt;&lt;/c&gt;&lt;c r=&quot;AI73&quot; s=&quot;106&quot;&gt;&lt;f&gt;($AE73*(1+$AB$7)*&apos;Property Calculator&apos;!$B$96+&apos;Property Calculator&apos;!$B$59)*&apos;Property Calculator&apos;!$B$98</f><v>5758.8959999999997</v></c><c r="AJ73" s="106"><f>IF(AG73&lt;=0,0,PMT(&apos;Property Calculator&apos;!$B$65/12,&apos;Property Calculator&apos;!$B$70*12,-AG73)*12)</f><v>15984.06897473033</v></c><c r="AK73" s="106"><f>-&apos;Property Calculator&apos;!$B$63</f><v>-80000</v></c><c r="AL73" s="106"><f>IF(1&gt;&apos;Property Calculator&apos;!$B$11,0,((&apos;Property Calculator&apos;!$B$82*(1+&apos;Property Calculator&apos;!$B$83)^0)-(&apos;Property Calculator&apos;!$B$93*(1+&apos;Property Calculator&apos;!$B$16)^0)-AJ73-&apos;Property Calculator&apos;!$B$100*((&apos;Property Calculator&apos;!$B$82*(1+&apos;Property Calculator&apos;!$B$83)^0)-(&apos;Property Calculator&apos;!$B$93*(1+&apos;Property Calculator&apos;!$B$16)^0)+(&apos;Property Calculator&apos;!$B$87*(1+&apos;Property Calculator&apos;!$B$16)^0)-(IF(AG73&lt;=0,0,IFERROR(-CUMIPMT(&apos;Property Calculator&apos;!$B$65/12,&apos;Property Calculator&apos;!$B$70*12,AG73,1,12,0),0)))-AI73-&apos;Property Calculator&apos;!$B$101-(IF(1=1,&apos;Property Calculator&apos;!$B$58,0))))+IF(1=&apos;Property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1851.030309456637</v></c><c r="AM73" s="106"><f>IF(2&gt;&apos;Property Calculator&apos;!$B$11,0,((&apos;Property Calculator&apos;!$B$82*(1+&apos;Property Calculator&apos;!$B$83)^1)-(&apos;Property Calculator&apos;!$B$93*(1+&apos;Property Calculator&apos;!$B$16)^1)-AJ73-&apos;Property Calculator&apos;!$B$100*((&apos;Property Calculator&apos;!$B$82*(1+&apos;Property Calculator&apos;!$B$83)^1)-(&apos;Property Calculator&apos;!$B$93*(1+&apos;Property Calculator&apos;!$B$16)^1)+(&apos;Property Calculator&apos;!$B$87*(1+&apos;Property Calculator&apos;!$B$16)^1)-(IF(AG73&lt;=0,0,IFERROR(-CUMIPMT(&apos;Property Calculator&apos;!$B$65/12,&apos;Property Calculator&apos;!$B$70*12,AG73,13,24,0),0)))-AI73-&apos;Property Calculator&apos;!$B$101-(IF(2=1,&apos;Property Calculator&apos;!$B$58,0))))+IF(2=&apos;Property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-4450.3623546066592</v></c><c r="AN73" s="106"><f>IF(3&gt;&apos;Property Calculator&apos;!$B$11,0,((&apos;Property Calculator&apos;!$B$82*(1+&apos;Property Calculator&apos;!$B$83)^2)-(&apos;Property Calculator&apos;!$B$93*(1+&apos;Property Calculator&apos;!$B$16)^2)-AJ73-&apos;Property Calculator&apos;!$B$100*((&apos;Property Calculator&apos;!$B$82*(1+&apos;Property Calculator&apos;!$B$83)^2)-(&apos;Property Calculator&apos;!$B$93*(1+&apos;Property Calculator&apos;!$B$16)^2)+(&apos;Property Calculator&apos;!$B$87*(1+&apos;Property Calculator&apos;!$B$16)^1)-(IF(AG73&lt;=0,0,IFERROR(-CUMIPMT(&apos;Property Calculator&apos;!$B$65/12,&apos;Property Calculator&apos;!$B$70*12,AG73,25,36,0),0)))-AI73-&apos;Property Calculator&apos;!$B$101-(IF(3=1,&apos;Property Calculator&apos;!$B$58,0))))+IF(3=&apos;Property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-4444.7605148332841</v></c><c r="AO73" s="106"><f>IF(4&gt;&apos;Property Calculator&apos;!$B$11,0,((&apos;Property Calculator&apos;!$B$82*(1+&apos;Property Calculator&apos;!$B$83)^3)-(&apos;Property Calculator&apos;!$B$93*(1+&apos;Property Calculator&apos;!$B$16)^3)-AJ73-&apos;Property Calculator&apos;!$B$100*((&apos;Property Calculator&apos;!$B$82*(1+&apos;Property Calculator&apos;!$B$83)^3)-(&apos;Property Calculator&apos;!$B$93*(1+&apos;Property Calculator&apos;!$B$16)^3)+(&apos;Property Calculator&apos;!$B$87*(1+&apos;Property Calculator&apos;!$B$16)^1)-(IF(AG73&lt;=0,0,IFERROR(-CUMIPMT(&apos;Property Calculator&apos;!$B$65/12,&apos;Property Calculator&apos;!$B$70*12,AG73,37,48,0),0)))-AI73-&apos;Property Calculator&apos;!$B$101-(IF(4=1,&apos;Property Calculator&apos;!$B$58,0))))+IF(4=&apos;Property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-4440.6449106756481</v></c><c r="AP73" s="106"><f>IF(5&gt;&apos;Property Calculator&apos;!$B$11,0,((&apos;Property Calculator&apos;!$B$82*(1+&apos;Property Calculator&apos;!$B$83)^4)-(&apos;Property Calculator&apos;!$B$93*(1+&apos;Property Calculator&apos;!$B$16)^4)-AJ73-&apos;Property Calculator&apos;!$B$100*((&apos;Property Calculator&apos;!$B$82*(1+&apos;Property Calculator&apos;!$B$83)^4)-(&apos;Property Calculator&apos;!$B$93*(1+&apos;Property Calculator&apos;!$B$16)^4)+(&apos;Property Calculator&apos;!$B$87*(1+&apos;Property Calculator&apos;!$B$16)^1)-(IF(AG73&lt;=0,0,IFERROR(-CUMIPMT(&apos;Property Calculator&apos;!$B$65/12,&apos;Property Calculator&apos;!$B$70*12,AG73,49,60,0),0)))-AI73-&apos;Property Calculator&apos;!$B$101-(IF(5=1,&apos;Property Calculator&apos;!$B$58,0))))+IF(5=&apos;Property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-4438.0997096402389</v></c><c r="AQ73" s="106"><f>IF(6&gt;&apos;Property Calculator&apos;!$B$11,0,((&apos;Property Calculator&apos;!$B$82*(1+&apos;Property Calculator&apos;!$B$83)^5)-(&apos;Property Calculator&apos;!$B$93*(1+&apos;Property Calculator&apos;!$B$16)^5)-AJ73-&apos;Property Calculator&apos;!$B$100*((&apos;Property Calculator&apos;!$B$82*(1+&apos;Property Calculator&apos;!$B$83)^5)-(&apos;Property Calculator&apos;!$B$93*(1+&apos;Property Calculator&apos;!$B$16)^5)+(&apos;Property Calculator&apos;!$B$87*(1+&apos;Property Calculator&apos;!$B$16)^1)-(IF(AG73&lt;=0,0,IFERROR(-CUMIPMT(&apos;Property Calculator&apos;!$B$65/12,&apos;Property Calculator&apos;!$B$70*12,AG73,61,72,0),0)))-AI73-&apos;Property Calculator&apos;!$B$101-(IF(6=1,&apos;Property Calculator&apos;!$B$58,0))))+IF(6=&apos;Property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-4437.2126388758306</v></c><c r="AR73" s="106"><f>IF(7&gt;&apos;Property Calculator&apos;!$B$11,0,((&apos;Property Calculator&apos;!$B$82*(1+&apos;Property Calculator&apos;!$B$83)^6)-(&apos;Property Calculator&apos;!$B$93*(1+&apos;Property Calculator&apos;!$B$16)^6)-AJ73-&apos;Property Calculator&apos;!$B$100*((&apos;Property Calculator&apos;!$B$82*(1+&apos;Property Calculator&apos;!$B$83)^6)-(&apos;Property Calculator&apos;!$B$93*(1+&apos;Property Calculator&apos;!$B$16)^6)+(&apos;Property Calculator&apos;!$B$87*(1+&apos;Property Calculator&apos;!$B$16)^1)-(IF(AG73&lt;=0,0,IFERROR(-CUMIPMT(&apos;Property Calculator&apos;!$B$65/12,&apos;Property Calculator&apos;!$B$70*12,AG73,73,84,0),0)))-AI73-&apos;Property Calculator&apos;!$B$101-(IF(7=1,&apos;Property Calculator&apos;!$B$58,0))))+IF(7=&apos;Property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-4438.0751215985301</v></c><c r="AS73" s="106"><f>IF(8&gt;&apos;Property Calculator&apos;!$B$11,0,((&apos;Property Calculator&apos;!$B$82*(1+&apos;Property Calculator&apos;!$B$83)^7)-(&apos;Property Calculator&apos;!$B$93*(1+&apos;Property Calculator&apos;!$B$16)^7)-AJ73-&apos;Property Calculator&apos;!$B$100*((&apos;Property Calculator&apos;!$B$82*(1+&apos;Property Calculator&apos;!$B$83)^7)-(&apos;Property Calculator&apos;!$B$93*(1+&apos;Property Calculator&apos;!$B$16)^7)+(&apos;Property Calculator&apos;!$B$87*(1+&apos;Property Calculator&apos;!$B$16)^1)-(IF(AG73&lt;=0,0,IFERROR(-CUMIPMT(&apos;Property Calculator&apos;!$B$65/12,&apos;Property Calculator&apos;!$B$70*12,AG73,85,96,0),0)))-AI73-&apos;Property Calculator&apos;!$B$101-(IF(8=1,&apos;Property Calculator&apos;!$B$58,0))))+IF(8=&apos;Property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-4440.7824185278769</v></c><c r="AT73" s="106"><f>IF(9&gt;&apos;Property Calculator&apos;!$B$11,0,((&apos;Property Calculator&apos;!$B$82*(1+&apos;Property Calculator&apos;!$B$83)^8)-(&apos;Property Calculator&apos;!$B$93*(1+&apos;Property Calculator&apos;!$B$16)^8)-AJ73-&apos;Property Calculator&apos;!$B$100*((&apos;Property Calculator&apos;!$B$82*(1+&apos;Property Calculator&apos;!$B$83)^8)-(&apos;Property Calculator&apos;!$B$93*(1+&apos;Property Calculator&apos;!$B$16)^8)+(&apos;Property Calculator&apos;!$B$87*(1+&apos;Property Calculator&apos;!$B$16)^1)-(IF(AG73&lt;=0,0,IFERROR(-CUMIPMT(&apos;Property Calculator&apos;!$B$65/12,&apos;Property Calculator&apos;!$B$70*12,AG73,97,108,0),0)))-AI73-&apos;Property Calculator&apos;!$B$101-(IF(9=1,&apos;Property Calculator&apos;!$B$58,0))))+IF(9=&apos;Property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-4445.4337745144721</v></c><c r="AU73" s="106"><f>IF(10&gt;&apos;Property Calculator&apos;!$B$11,0,((&apos;Property Calculator&apos;!$B$82*(1+&apos;Property Calculator&apos;!$B$83)^9)-(&apos;Property Calculator&apos;!$B$93*(1+&apos;Property Calculator&apos;!$B$16)^9)-AJ73-&apos;Property Calculator&apos;!$B$100*((&apos;Property Calculator&apos;!$B$82*(1+&apos;Property Calculator&apos;!$B$83)^9)-(&apos;Property Calculator&apos;!$B$93*(1+&apos;Property Calculator&apos;!$B$16)^9)+(&apos;Property Calculator&apos;!$B$87*(1+&apos;Property Calculator&apos;!$B$16)^1)-(IF(AG73&lt;=0,0,IFERROR(-CUMIPMT(&apos;Property Calculator&apos;!$B$65/12,&apos;Property Calculator&apos;!$B$70*12,AG73,109,120,0),0)))-AI73-&apos;Property Calculator&apos;!$B$101-(IF(10=1,&apos;Property Calculator&apos;!$B$58,0))))+IF(10=&apos;Property Calculator&apos;!$B$11,($AE73*(1+&apos;Property Calculator&apos;!$B$12)^&apos;Property Calculator&apos;!$B$11)-(($AE73*(1+&apos;Property Calculator&apos;!$B$12)^&apos;Property Calculator&apos;!$B$11)*&apos;Exit Analysis&apos;!$B$5)-(IF(&apos;Property Calculator&apos;!$B$11&lt;10,MAX(0,($AE73*(1+&apos;Property Calculator&apos;!$B$12)^&apos;Property Calculator&apos;!$B$11)-($AE73*(1+$AB$7))+&apos;Property Calculator&apos;!$B$11*AI73-(($AE73*(1+&apos;Property Calculator&apos;!$B$12)^&apos;Property Calculator&apos;!$B$11)*&apos;Exit Analysis&apos;!$B$5))*&apos;Property Calculator&apos;!$B$100,0))-(IF(OR(AG73&lt;=0,&apos;Property Calculator&apos;!$B$11&gt;=&apos;Property Calculator&apos;!$B$70),0,IFERROR(PV(&apos;Property Calculator&apos;!$B$65/12,&apos;Property Calculator&apos;!$B$70*12-&apos;Property Calculator&apos;!$B$11*12,-AJ73/12),0))),0))</f><v>167182.25747394119</v></c><c r="AV73" s="37"><f>IFERROR(XIRR(AK73:AU73,&apos;Return Details&apos;!$L$4:$L$14),&quot;—&quot;)</f><v>4.6544197201728837E-2</v></c><c r="AW73" s="106"><f>IF(AND(ISNUMBER(AV73),AV73&gt;=$B$37,AL73&gt;=$B$38,AH73&lt;=$B$39,AF73&gt;&apos;Property Calculator&apos;!$B$63),AE73,0)</f><v>0</v></c><c r="AX73" s="106"><f t="shared" si="4"/>&lt;v&gt;0&lt;/v&gt;&lt;/c&gt;&lt;/row&gt;&lt;row r=&quot;74&quot; spans=&quot;31:50&quot; x14ac:dyDescent=&quot;0.25&quot;&gt;&lt;c r=&quot;AE74&quot; s=&quot;106&quot;&gt;&lt;v&gt;340000&lt;/v&gt;&lt;/c&gt;&lt;c r=&quot;AF74&quot; s=&quot;106&quot;&gt;&lt;f t=&quot;shared&quot; si=&quot;2&quot;/&gt;&lt;v&gt;387538&lt;/v&gt;&lt;/c&gt;&lt;c r=&quot;AG74&quot; s=&quot;106&quot;&gt;&lt;f&gt;MAX(0,AF74-&apos;Property Calculator&apos;!$B$63)</f><v>307538</v></c><c r="AH74" s="37"><f t="shared" si="3"/>&lt;v&gt;0.90452352941176473&lt;/v&gt;&lt;/c&gt;&lt;c r=&quot;AI74&quot; s=&quot;106&quot;&gt;&lt;f&gt;($AE74*(1+$AB$7)*&apos;Property Calculator&apos;!$B$96+&apos;Property Calculator&apos;!$B$59)*&apos;Property Calculator&apos;!$B$98</f><v>5933.4080000000004</v></c><c r="AJ74" s="106"><f>IF(AG74&lt;=0,0,PMT(&apos;Property Calculator&apos;!$B$65/12,&apos;Property Calculator&apos;!$B$70*12,-AG74)*12)</f><v>16571.796623922033</v></c><c r="AK74" s="106"><f>-&apos;Property Calculator&apos;!$B$63</f><v>-80000</v></c><c r="AL74" s="106"><f>IF(1&gt;&apos;Property Calculator&apos;!$B$11,0,((&apos;Property Calculator&apos;!$B$82*(1+&apos;Property Calculator&apos;!$B$83)^0)-(&apos;Property Calculator&apos;!$B$93*(1+&apos;Property Calculator&apos;!$B$16)^0)-AJ74-&apos;Property Calculator&apos;!$B$100*((&apos;Property Calculator&apos;!$B$82*(1+&apos;Property Calculator&apos;!$B$83)^0)-(&apos;Property Calculator&apos;!$B$93*(1+&apos;Property Calculator&apos;!$B$16)^0)+(&apos;Property Calculator&apos;!$B$87*(1+&apos;Property Calculator&apos;!$B$16)^0)-(IF(AG74&lt;=0,0,IFERROR(-CUMIPMT(&apos;Property Calculator&apos;!$B$65/12,&apos;Property Calculator&apos;!$B$70*12,AG74,1,12,0),0)))-AI74-&apos;Property Calculator&apos;!$B$101-(IF(1=1,&apos;Property Calculator&apos;!$B$58,0))))+IF(1=&apos;Property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1495.5292106275974</v></c><c r="AM74" s="106"><f>IF(2&gt;&apos;Property Calculator&apos;!$B$11,0,((&apos;Property Calculator&apos;!$B$82*(1+&apos;Property Calculator&apos;!$B$83)^1)-(&apos;Property Calculator&apos;!$B$93*(1+&apos;Property Calculator&apos;!$B$16)^1)-AJ74-&apos;Property Calculator&apos;!$B$100*((&apos;Property Calculator&apos;!$B$82*(1+&apos;Property Calculator&apos;!$B$83)^1)-(&apos;Property Calculator&apos;!$B$93*(1+&apos;Property Calculator&apos;!$B$16)^1)+(&apos;Property Calculator&apos;!$B$87*(1+&apos;Property Calculator&apos;!$B$16)^1)-(IF(AG74&lt;=0,0,IFERROR(-CUMIPMT(&apos;Property Calculator&apos;!$B$65/12,&apos;Property Calculator&apos;!$B$70*12,AG74,13,24,0),0)))-AI74-&apos;Property Calculator&apos;!$B$101-(IF(2=1,&apos;Property Calculator&apos;!$B$58,0))))+IF(2=&apos;Property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-4808.9902901754122</v></c><c r="AN74" s="106"><f>IF(3&gt;&apos;Property Calculator&apos;!$B$11,0,((&apos;Property Calculator&apos;!$B$82*(1+&apos;Property Calculator&apos;!$B$83)^2)-(&apos;Property Calculator&apos;!$B$93*(1+&apos;Property Calculator&apos;!$B$16)^2)-AJ74-&apos;Property Calculator&apos;!$B$100*((&apos;Property Calculator&apos;!$B$82*(1+&apos;Property Calculator&apos;!$B$83)^2)-(&apos;Property Calculator&apos;!$B$93*(1+&apos;Property Calculator&apos;!$B$16)^2)+(&apos;Property Calculator&apos;!$B$87*(1+&apos;Property Calculator&apos;!$B$16)^1)-(IF(AG74&lt;=0,0,IFERROR(-CUMIPMT(&apos;Property Calculator&apos;!$B$65/12,&apos;Property Calculator&apos;!$B$70*12,AG74,25,36,0),0)))-AI74-&apos;Property Calculator&apos;!$B$101-(IF(3=1,&apos;Property Calculator&apos;!$B$58,0))))+IF(3=&apos;Property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-4806.6264991969438</v></c><c r="AO74" s="106"><f>IF(4&gt;&apos;Property Calculator&apos;!$B$11,0,((&apos;Property Calculator&apos;!$B$82*(1+&apos;Property Calculator&apos;!$B$83)^3)-(&apos;Property Calculator&apos;!$B$93*(1+&apos;Property Calculator&apos;!$B$16)^3)-AJ74-&apos;Property Calculator&apos;!$B$100*((&apos;Property Calculator&apos;!$B$82*(1+&apos;Property Calculator&apos;!$B$83)^3)-(&apos;Property Calculator&apos;!$B$93*(1+&apos;Property Calculator&apos;!$B$16)^3)+(&apos;Property Calculator&apos;!$B$87*(1+&apos;Property Calculator&apos;!$B$16)^1)-(IF(AG74&lt;=0,0,IFERROR(-CUMIPMT(&apos;Property Calculator&apos;!$B$65/12,&apos;Property Calculator&apos;!$B$70*12,AG74,37,48,0),0)))-AI74-&apos;Property Calculator&apos;!$B$101-(IF(4=1,&apos;Property Calculator&apos;!$B$58,0))))+IF(4=&apos;Property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-4805.8641113633403</v></c><c r="AP74" s="106"><f>IF(5&gt;&apos;Property Calculator&apos;!$B$11,0,((&apos;Property Calculator&apos;!$B$82*(1+&apos;Property Calculator&apos;!$B$83)^4)-(&apos;Property Calculator&apos;!$B$93*(1+&apos;Property Calculator&apos;!$B$16)^4)-AJ74-&apos;Property Calculator&apos;!$B$100*((&apos;Property Calculator&apos;!$B$82*(1+&apos;Property Calculator&apos;!$B$83)^4)-(&apos;Property Calculator&apos;!$B$93*(1+&apos;Property Calculator&apos;!$B$16)^4)+(&apos;Property Calculator&apos;!$B$87*(1+&apos;Property Calculator&apos;!$B$16)^1)-(IF(AG74&lt;=0,0,IFERROR(-CUMIPMT(&apos;Property Calculator&apos;!$B$65/12,&apos;Property Calculator&apos;!$B$70*12,AG74,49,60,0),0)))-AI74-&apos;Property Calculator&apos;!$B$101-(IF(5=1,&apos;Property Calculator&apos;!$B$58,0))))+IF(5=&apos;Property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-4806.7913903391755</v></c><c r="AQ74" s="106"><f>IF(6&gt;&apos;Property Calculator&apos;!$B$11,0,((&apos;Property Calculator&apos;!$B$82*(1+&apos;Property Calculator&apos;!$B$83)^5)-(&apos;Property Calculator&apos;!$B$93*(1+&apos;Property Calculator&apos;!$B$16)^5)-AJ74-&apos;Property Calculator&apos;!$B$100*((&apos;Property Calculator&apos;!$B$82*(1+&apos;Property Calculator&apos;!$B$83)^5)-(&apos;Property Calculator&apos;!$B$93*(1+&apos;Property Calculator&apos;!$B$16)^5)+(&apos;Property Calculator&apos;!$B$87*(1+&apos;Property Calculator&apos;!$B$16)^1)-(IF(AG74&lt;=0,0,IFERROR(-CUMIPMT(&apos;Property Calculator&apos;!$B$65/12,&apos;Property Calculator&apos;!$B$70*12,AG74,61,72,0),0)))-AI74-&apos;Property Calculator&apos;!$B$101-(IF(6=1,&apos;Property Calculator&apos;!$B$58,0))))+IF(6=&apos;Property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-4809.5003051191788</v></c><c r="AR74" s="106"><f>IF(7&gt;&apos;Property Calculator&apos;!$B$11,0,((&apos;Property Calculator&apos;!$B$82*(1+&apos;Property Calculator&apos;!$B$83)^6)-(&apos;Property Calculator&apos;!$B$93*(1+&apos;Property Calculator&apos;!$B$16)^6)-AJ74-&apos;Property Calculator&apos;!$B$100*((&apos;Property Calculator&apos;!$B$82*(1+&apos;Property Calculator&apos;!$B$83)^6)-(&apos;Property Calculator&apos;!$B$93*(1+&apos;Property Calculator&apos;!$B$16)^6)+(&apos;Property Calculator&apos;!$B$87*(1+&apos;Property Calculator&apos;!$B$16)^1)-(IF(AG74&lt;=0,0,IFERROR(-CUMIPMT(&apos;Property Calculator&apos;!$B$65/12,&apos;Property Calculator&apos;!$B$70*12,AG74,73,84,0),0)))-AI74-&apos;Property Calculator&apos;!$B$101-(IF(7=1,&apos;Property Calculator&apos;!$B$58,0))))+IF(7=&apos;Property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-4814.0866716349428</v></c><c r="AS74" s="106"><f>IF(8&gt;&apos;Property Calculator&apos;!$B$11,0,((&apos;Property Calculator&apos;!$B$82*(1+&apos;Property Calculator&apos;!$B$83)^7)-(&apos;Property Calculator&apos;!$B$93*(1+&apos;Property Calculator&apos;!$B$16)^7)-AJ74-&apos;Property Calculator&apos;!$B$100*((&apos;Property Calculator&apos;!$B$82*(1+&apos;Property Calculator&apos;!$B$83)^7)-(&apos;Property Calculator&apos;!$B$93*(1+&apos;Property Calculator&apos;!$B$16)^7)+(&apos;Property Calculator&apos;!$B$87*(1+&apos;Property Calculator&apos;!$B$16)^1)-(IF(AG74&lt;=0,0,IFERROR(-CUMIPMT(&apos;Property Calculator&apos;!$B$65/12,&apos;Property Calculator&apos;!$B$70*12,AG74,85,96,0),0)))-AI74-&apos;Property Calculator&apos;!$B$101-(IF(8=1,&apos;Property Calculator&apos;!$B$58,0))))+IF(8=&apos;Property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-4820.650299556999</v></c><c r="AT74" s="106"><f>IF(9&gt;&apos;Property Calculator&apos;!$B$11,0,((&apos;Property Calculator&apos;!$B$82*(1+&apos;Property Calculator&apos;!$B$83)^8)-(&apos;Property Calculator&apos;!$B$93*(1+&apos;Property Calculator&apos;!$B$16)^8)-AJ74-&apos;Property Calculator&apos;!$B$100*((&apos;Property Calculator&apos;!$B$82*(1+&apos;Property Calculator&apos;!$B$83)^8)-(&apos;Property Calculator&apos;!$B$93*(1+&apos;Property Calculator&apos;!$B$16)^8)+(&apos;Property Calculator&apos;!$B$87*(1+&apos;Property Calculator&apos;!$B$16)^1)-(IF(AG74&lt;=0,0,IFERROR(-CUMIPMT(&apos;Property Calculator&apos;!$B$65/12,&apos;Property Calculator&apos;!$B$70*12,AG74,97,108,0),0)))-AI74-&apos;Property Calculator&apos;!$B$101-(IF(9=1,&apos;Property Calculator&apos;!$B$58,0))))+IF(9=&apos;Property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-4829.2951444792634</v></c><c r="AU74" s="106"><f>IF(10&gt;&apos;Property Calculator&apos;!$B$11,0,((&apos;Property Calculator&apos;!$B$82*(1+&apos;Property Calculator&apos;!$B$83)^9)-(&apos;Property Calculator&apos;!$B$93*(1+&apos;Property Calculator&apos;!$B$16)^9)-AJ74-&apos;Property Calculator&apos;!$B$100*((&apos;Property Calculator&apos;!$B$82*(1+&apos;Property Calculator&apos;!$B$83)^9)-(&apos;Property Calculator&apos;!$B$93*(1+&apos;Property Calculator&apos;!$B$16)^9)+(&apos;Property Calculator&apos;!$B$87*(1+&apos;Property Calculator&apos;!$B$16)^1)-(IF(AG74&lt;=0,0,IFERROR(-CUMIPMT(&apos;Property Calculator&apos;!$B$65/12,&apos;Property Calculator&apos;!$B$70*12,AG74,109,120,0),0)))-AI74-&apos;Property Calculator&apos;!$B$101-(IF(10=1,&apos;Property Calculator&apos;!$B$58,0))))+IF(10=&apos;Property Calculator&apos;!$B$11,($AE74*(1+&apos;Property Calculator&apos;!$B$12)^&apos;Property Calculator&apos;!$B$11)-(($AE74*(1+&apos;Property Calculator&apos;!$B$12)^&apos;Property Calculator&apos;!$B$11)*&apos;Exit Analysis&apos;!$B$5)-(IF(&apos;Property Calculator&apos;!$B$11&lt;10,MAX(0,($AE74*(1+&apos;Property Calculator&apos;!$B$12)^&apos;Property Calculator&apos;!$B$11)-($AE74*(1+$AB$7))+&apos;Property Calculator&apos;!$B$11*AI74-(($AE74*(1+&apos;Property Calculator&apos;!$B$12)^&apos;Property Calculator&apos;!$B$11)*&apos;Exit Analysis&apos;!$B$5))*&apos;Property Calculator&apos;!$B$100,0))-(IF(OR(AG74&lt;=0,&apos;Property Calculator&apos;!$B$11&gt;=&apos;Property Calculator&apos;!$B$70),0,IFERROR(PV(&apos;Property Calculator&apos;!$B$65/12,&apos;Property Calculator&apos;!$B$70*12-&apos;Property Calculator&apos;!$B$11*12,-AJ74/12),0))),0))</f><v>170510.11445639539</v></c><c r="AV74" s="37"><f>IFERROR(XIRR(AK74:AU74,&apos;Return Details&apos;!$L$4:$L$14),&quot;—&quot;)</f><v>4.592914879322052E-2</v></c><c r="AW74" s="106"><f>IF(AND(ISNUMBER(AV74),AV74&gt;=$B$37,AL74&gt;=$B$38,AH74&lt;=$B$39,AF74&gt;&apos;Property Calculator&apos;!$B$63),AE74,0)</f><v>0</v></c><c r="AX74" s="106"><f t="shared" si="4"/>&lt;v&gt;0&lt;/v&gt;&lt;/c&gt;&lt;/row&gt;&lt;row r=&quot;75&quot; spans=&quot;31:50&quot; x14ac:dyDescent=&quot;0.25&quot;&gt;&lt;c r=&quot;AE75&quot; s=&quot;106&quot;&gt;&lt;v&gt;350000&lt;/v&gt;&lt;/c&gt;&lt;c r=&quot;AF75&quot; s=&quot;106&quot;&gt;&lt;f t=&quot;shared&quot; si=&quot;2&quot;/&gt;&lt;v&gt;398445&lt;/v&gt;&lt;/c&gt;&lt;c r=&quot;AG75&quot; s=&quot;106&quot;&gt;&lt;f&gt;MAX(0,AF75-&apos;Property Calculator&apos;!$B$63)</f><v>318445</v></c><c r="AH75" s="37"><f t="shared" si="3"/>&lt;v&gt;0.90984285714285718&lt;/v&gt;&lt;/c&gt;&lt;c r=&quot;AI75&quot; s=&quot;106&quot;&gt;&lt;f&gt;($AE75*(1+$AB$7)*&apos;Property Calculator&apos;!$B$96+&apos;Property Calculator&apos;!$B$59)*&apos;Property Calculator&apos;!$B$98</f><v>6107.92</v></c><c r="AJ75" s="106"><f>IF(AG75&lt;=0,0,PMT(&apos;Property Calculator&apos;!$B$65/12,&apos;Property Calculator&apos;!$B$70*12,-AG75)*12)</f><v>17159.524273113733</v></c><c r="AK75" s="106"><f>-&apos;Property Calculator&apos;!$B$63</f><v>-80000</v></c><c r="AL75" s="106"><f>IF(1&gt;&apos;Property Calculator&apos;!$B$11,0,((&apos;Property Calculator&apos;!$B$82*(1+&apos;Property Calculator&apos;!$B$83)^0)-(&apos;Property Calculator&apos;!$B$93*(1+&apos;Property Calculator&apos;!$B$16)^0)-AJ75-&apos;Property Calculator&apos;!$B$100*((&apos;Property Calculator&apos;!$B$82*(1+&apos;Property Calculator&apos;!$B$83)^0)-(&apos;Property Calculator&apos;!$B$93*(1+&apos;Property Calculator&apos;!$B$16)^0)+(&apos;Property Calculator&apos;!$B$87*(1+&apos;Property Calculator&apos;!$B$16)^0)-(IF(AG75&lt;=0,0,IFERROR(-CUMIPMT(&apos;Property Calculator&apos;!$B$65/12,&apos;Property Calculator&apos;!$B$70*12,AG75,1,12,0),0)))-AI75-&apos;Property Calculator&apos;!$B$101-(IF(1=1,&apos;Property Calculator&apos;!$B$58,0))))+IF(1=&apos;Property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1140.0281117985596</v></c><c r="AM75" s="106"><f>IF(2&gt;&apos;Property Calculator&apos;!$B$11,0,((&apos;Property Calculator&apos;!$B$82*(1+&apos;Property Calculator&apos;!$B$83)^1)-(&apos;Property Calculator&apos;!$B$93*(1+&apos;Property Calculator&apos;!$B$16)^1)-AJ75-&apos;Property Calculator&apos;!$B$100*((&apos;Property Calculator&apos;!$B$82*(1+&apos;Property Calculator&apos;!$B$83)^1)-(&apos;Property Calculator&apos;!$B$93*(1+&apos;Property Calculator&apos;!$B$16)^1)+(&apos;Property Calculator&apos;!$B$87*(1+&apos;Property Calculator&apos;!$B$16)^1)-(IF(AG75&lt;=0,0,IFERROR(-CUMIPMT(&apos;Property Calculator&apos;!$B$65/12,&apos;Property Calculator&apos;!$B$70*12,AG75,13,24,0),0)))-AI75-&apos;Property Calculator&apos;!$B$101-(IF(2=1,&apos;Property Calculator&apos;!$B$58,0))))+IF(2=&apos;Property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-5167.618225744166</v></c><c r="AN75" s="106"><f>IF(3&gt;&apos;Property Calculator&apos;!$B$11,0,((&apos;Property Calculator&apos;!$B$82*(1+&apos;Property Calculator&apos;!$B$83)^2)-(&apos;Property Calculator&apos;!$B$93*(1+&apos;Property Calculator&apos;!$B$16)^2)-AJ75-&apos;Property Calculator&apos;!$B$100*((&apos;Property Calculator&apos;!$B$82*(1+&apos;Property Calculator&apos;!$B$83)^2)-(&apos;Property Calculator&apos;!$B$93*(1+&apos;Property Calculator&apos;!$B$16)^2)+(&apos;Property Calculator&apos;!$B$87*(1+&apos;Property Calculator&apos;!$B$16)^1)-(IF(AG75&lt;=0,0,IFERROR(-CUMIPMT(&apos;Property Calculator&apos;!$B$65/12,&apos;Property Calculator&apos;!$B$70*12,AG75,25,36,0),0)))-AI75-&apos;Property Calculator&apos;!$B$101-(IF(3=1,&apos;Property Calculator&apos;!$B$58,0))))+IF(3=&apos;Property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-5168.4924835606034</v></c><c r="AO75" s="106"><f>IF(4&gt;&apos;Property Calculator&apos;!$B$11,0,((&apos;Property Calculator&apos;!$B$82*(1+&apos;Property Calculator&apos;!$B$83)^3)-(&apos;Property Calculator&apos;!$B$93*(1+&apos;Property Calculator&apos;!$B$16)^3)-AJ75-&apos;Property Calculator&apos;!$B$100*((&apos;Property Calculator&apos;!$B$82*(1+&apos;Property Calculator&apos;!$B$83)^3)-(&apos;Property Calculator&apos;!$B$93*(1+&apos;Property Calculator&apos;!$B$16)^3)+(&apos;Property Calculator&apos;!$B$87*(1+&apos;Property Calculator&apos;!$B$16)^1)-(IF(AG75&lt;=0,0,IFERROR(-CUMIPMT(&apos;Property Calculator&apos;!$B$65/12,&apos;Property Calculator&apos;!$B$70*12,AG75,37,48,0),0)))-AI75-&apos;Property Calculator&apos;!$B$101-(IF(4=1,&apos;Property Calculator&apos;!$B$58,0))))+IF(4=&apos;Property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-5171.0833120510306</v></c><c r="AP75" s="106"><f>IF(5&gt;&apos;Property Calculator&apos;!$B$11,0,((&apos;Property Calculator&apos;!$B$82*(1+&apos;Property Calculator&apos;!$B$83)^4)-(&apos;Property Calculator&apos;!$B$93*(1+&apos;Property Calculator&apos;!$B$16)^4)-AJ75-&apos;Property Calculator&apos;!$B$100*((&apos;Property Calculator&apos;!$B$82*(1+&apos;Property Calculator&apos;!$B$83)^4)-(&apos;Property Calculator&apos;!$B$93*(1+&apos;Property Calculator&apos;!$B$16)^4)+(&apos;Property Calculator&apos;!$B$87*(1+&apos;Property Calculator&apos;!$B$16)^1)-(IF(AG75&lt;=0,0,IFERROR(-CUMIPMT(&apos;Property Calculator&apos;!$B$65/12,&apos;Property Calculator&apos;!$B$70*12,AG75,49,60,0),0)))-AI75-&apos;Property Calculator&apos;!$B$101-(IF(5=1,&apos;Property Calculator&apos;!$B$58,0))))+IF(5=&apos;Property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-5175.4830710381102</v></c><c r="AQ75" s="106"><f>IF(6&gt;&apos;Property Calculator&apos;!$B$11,0,((&apos;Property Calculator&apos;!$B$82*(1+&apos;Property Calculator&apos;!$B$83)^5)-(&apos;Property Calculator&apos;!$B$93*(1+&apos;Property Calculator&apos;!$B$16)^5)-AJ75-&apos;Property Calculator&apos;!$B$100*((&apos;Property Calculator&apos;!$B$82*(1+&apos;Property Calculator&apos;!$B$83)^5)-(&apos;Property Calculator&apos;!$B$93*(1+&apos;Property Calculator&apos;!$B$16)^5)+(&apos;Property Calculator&apos;!$B$87*(1+&apos;Property Calculator&apos;!$B$16)^1)-(IF(AG75&lt;=0,0,IFERROR(-CUMIPMT(&apos;Property Calculator&apos;!$B$65/12,&apos;Property Calculator&apos;!$B$70*12,AG75,61,72,0),0)))-AI75-&apos;Property Calculator&apos;!$B$101-(IF(6=1,&apos;Property Calculator&apos;!$B$58,0))))+IF(6=&apos;Property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-5181.7879713625262</v></c><c r="AR75" s="106"><f>IF(7&gt;&apos;Property Calculator&apos;!$B$11,0,((&apos;Property Calculator&apos;!$B$82*(1+&apos;Property Calculator&apos;!$B$83)^6)-(&apos;Property Calculator&apos;!$B$93*(1+&apos;Property Calculator&apos;!$B$16)^6)-AJ75-&apos;Property Calculator&apos;!$B$100*((&apos;Property Calculator&apos;!$B$82*(1+&apos;Property Calculator&apos;!$B$83)^6)-(&apos;Property Calculator&apos;!$B$93*(1+&apos;Property Calculator&apos;!$B$16)^6)+(&apos;Property Calculator&apos;!$B$87*(1+&apos;Property Calculator&apos;!$B$16)^1)-(IF(AG75&lt;=0,0,IFERROR(-CUMIPMT(&apos;Property Calculator&apos;!$B$65/12,&apos;Property Calculator&apos;!$B$70*12,AG75,73,84,0),0)))-AI75-&apos;Property Calculator&apos;!$B$101-(IF(7=1,&apos;Property Calculator&apos;!$B$58,0))))+IF(7=&apos;Property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-5190.0982216713528</v></c><c r="AS75" s="106"><f>IF(8&gt;&apos;Property Calculator&apos;!$B$11,0,((&apos;Property Calculator&apos;!$B$82*(1+&apos;Property Calculator&apos;!$B$83)^7)-(&apos;Property Calculator&apos;!$B$93*(1+&apos;Property Calculator&apos;!$B$16)^7)-AJ75-&apos;Property Calculator&apos;!$B$100*((&apos;Property Calculator&apos;!$B$82*(1+&apos;Property Calculator&apos;!$B$83)^7)-(&apos;Property Calculator&apos;!$B$93*(1+&apos;Property Calculator&apos;!$B$16)^7)+(&apos;Property Calculator&apos;!$B$87*(1+&apos;Property Calculator&apos;!$B$16)^1)-(IF(AG75&lt;=0,0,IFERROR(-CUMIPMT(&apos;Property Calculator&apos;!$B$65/12,&apos;Property Calculator&apos;!$B$70*12,AG75,85,96,0),0)))-AI75-&apos;Property Calculator&apos;!$B$101-(IF(8=1,&apos;Property Calculator&apos;!$B$58,0))))+IF(8=&apos;Property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-5200.5181805861175</v></c><c r="AT75" s="106"><f>IF(9&gt;&apos;Property Calculator&apos;!$B$11,0,((&apos;Property Calculator&apos;!$B$82*(1+&apos;Property Calculator&apos;!$B$83)^8)-(&apos;Property Calculator&apos;!$B$93*(1+&apos;Property Calculator&apos;!$B$16)^8)-AJ75-&apos;Property Calculator&apos;!$B$100*((&apos;Property Calculator&apos;!$B$82*(1+&apos;Property Calculator&apos;!$B$83)^8)-(&apos;Property Calculator&apos;!$B$93*(1+&apos;Property Calculator&apos;!$B$16)^8)+(&apos;Property Calculator&apos;!$B$87*(1+&apos;Property Calculator&apos;!$B$16)^1)-(IF(AG75&lt;=0,0,IFERROR(-CUMIPMT(&apos;Property Calculator&apos;!$B$65/12,&apos;Property Calculator&apos;!$B$70*12,AG75,97,108,0),0)))-AI75-&apos;Property Calculator&apos;!$B$101-(IF(9=1,&apos;Property Calculator&apos;!$B$58,0))))+IF(9=&apos;Property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-5213.1565144440519</v></c><c r="AU75" s="106"><f>IF(10&gt;&apos;Property Calculator&apos;!$B$11,0,((&apos;Property Calculator&apos;!$B$82*(1+&apos;Property Calculator&apos;!$B$83)^9)-(&apos;Property Calculator&apos;!$B$93*(1+&apos;Property Calculator&apos;!$B$16)^9)-AJ75-&apos;Property Calculator&apos;!$B$100*((&apos;Property Calculator&apos;!$B$82*(1+&apos;Property Calculator&apos;!$B$83)^9)-(&apos;Property Calculator&apos;!$B$93*(1+&apos;Property Calculator&apos;!$B$16)^9)+(&apos;Property Calculator&apos;!$B$87*(1+&apos;Property Calculator&apos;!$B$16)^1)-(IF(AG75&lt;=0,0,IFERROR(-CUMIPMT(&apos;Property Calculator&apos;!$B$65/12,&apos;Property Calculator&apos;!$B$70*12,AG75,109,120,0),0)))-AI75-&apos;Property Calculator&apos;!$B$101-(IF(10=1,&apos;Property Calculator&apos;!$B$58,0))))+IF(10=&apos;Property Calculator&apos;!$B$11,($AE75*(1+&apos;Property Calculator&apos;!$B$12)^&apos;Property Calculator&apos;!$B$11)-(($AE75*(1+&apos;Property Calculator&apos;!$B$12)^&apos;Property Calculator&apos;!$B$11)*&apos;Exit Analysis&apos;!$B$5)-(IF(&apos;Property Calculator&apos;!$B$11&lt;10,MAX(0,($AE75*(1+&apos;Property Calculator&apos;!$B$12)^&apos;Property Calculator&apos;!$B$11)-($AE75*(1+$AB$7))+&apos;Property Calculator&apos;!$B$11*AI75-(($AE75*(1+&apos;Property Calculator&apos;!$B$12)^&apos;Property Calculator&apos;!$B$11)*&apos;Exit Analysis&apos;!$B$5))*&apos;Property Calculator&apos;!$B$100,0))-(IF(OR(AG75&lt;=0,&apos;Property Calculator&apos;!$B$11&gt;=&apos;Property Calculator&apos;!$B$70),0,IFERROR(PV(&apos;Property Calculator&apos;!$B$65/12,&apos;Property Calculator&apos;!$B$70*12-&apos;Property Calculator&apos;!$B$11*12,-AJ75/12),0))),0))</f><v>173837.97143884975</v></c><c r="AV75" s="37"><f>IFERROR(XIRR(AK75:AU75,&apos;Return Details&apos;!$L$4:$L$14),&quot;—&quot;)</f><v>4.53293651342392E-2</v></c><c r="AW75" s="106"><f>IF(AND(ISNUMBER(AV75),AV75&gt;=$B$37,AL75&gt;=$B$38,AH75&lt;=$B$39,AF75&gt;&apos;Property Calculator&apos;!$B$63),AE75,0)</f><v>0</v></c><c r="AX75" s="106"><f t="shared" si="4"/>&lt;v&gt;0&lt;/v&gt;&lt;/c&gt;&lt;/row&gt;&lt;row r=&quot;76&quot; spans=&quot;31:50&quot; x14ac:dyDescent=&quot;0.25&quot;&gt;&lt;c r=&quot;AE76&quot; s=&quot;106&quot;&gt;&lt;v&gt;360000&lt;/v&gt;&lt;/c&gt;&lt;c r=&quot;AF76&quot; s=&quot;106&quot;&gt;&lt;f t=&quot;shared&quot; si=&quot;2&quot;/&gt;&lt;v&gt;409352&lt;/v&gt;&lt;/c&gt;&lt;c r=&quot;AG76&quot; s=&quot;106&quot;&gt;&lt;f&gt;MAX(0,AF76-&apos;Property Calculator&apos;!$B$63)</f><v>329352</v></c><c r="AH76" s="37"><f t="shared" si="3"/>&lt;v&gt;0.91486666666666672&lt;/v&gt;&lt;/c&gt;&lt;c r=&quot;AI76&quot; s=&quot;106&quot;&gt;&lt;f&gt;($AE76*(1+$AB$7)*&apos;Property Calculator&apos;!$B$96+&apos;Property Calculator&apos;!$B$59)*&apos;Property Calculator&apos;!$B$98</f><v>6282.4320000000007</v></c><c r="AJ76" s="106"><f>IF(AG76&lt;=0,0,PMT(&apos;Property Calculator&apos;!$B$65/12,&apos;Property Calculator&apos;!$B$70*12,-AG76)*12)</f><v>17747.251922305437</v></c><c r="AK76" s="106"><f>-&apos;Property Calculator&apos;!$B$63</f><v>-80000</v></c><c r="AL76" s="106"><f>IF(1&gt;&apos;Property Calculator&apos;!$B$11,0,((&apos;Property Calculator&apos;!$B$82*(1+&apos;Property Calculator&apos;!$B$83)^0)-(&apos;Property Calculator&apos;!$B$93*(1+&apos;Property Calculator&apos;!$B$16)^0)-AJ76-&apos;Property Calculator&apos;!$B$100*((&apos;Property Calculator&apos;!$B$82*(1+&apos;Property Calculator&apos;!$B$83)^0)-(&apos;Property Calculator&apos;!$B$93*(1+&apos;Property Calculator&apos;!$B$16)^0)+(&apos;Property Calculator&apos;!$B$87*(1+&apos;Property Calculator&apos;!$B$16)^0)-(IF(AG76&lt;=0,0,IFERROR(-CUMIPMT(&apos;Property Calculator&apos;!$B$65/12,&apos;Property Calculator&apos;!$B$70*12,AG76,1,12,0),0)))-AI76-&apos;Property Calculator&apos;!$B$101-(IF(1=1,&apos;Property Calculator&apos;!$B$58,0))))+IF(1=&apos;Property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784.52701296952182</v></c><c r="AM76" s="106"><f>IF(2&gt;&apos;Property Calculator&apos;!$B$11,0,((&apos;Property Calculator&apos;!$B$82*(1+&apos;Property Calculator&apos;!$B$83)^1)-(&apos;Property Calculator&apos;!$B$93*(1+&apos;Property Calculator&apos;!$B$16)^1)-AJ76-&apos;Property Calculator&apos;!$B$100*((&apos;Property Calculator&apos;!$B$82*(1+&apos;Property Calculator&apos;!$B$83)^1)-(&apos;Property Calculator&apos;!$B$93*(1+&apos;Property Calculator&apos;!$B$16)^1)+(&apos;Property Calculator&apos;!$B$87*(1+&apos;Property Calculator&apos;!$B$16)^1)-(IF(AG76&lt;=0,0,IFERROR(-CUMIPMT(&apos;Property Calculator&apos;!$B$65/12,&apos;Property Calculator&apos;!$B$70*12,AG76,13,24,0),0)))-AI76-&apos;Property Calculator&apos;!$B$101-(IF(2=1,&apos;Property Calculator&apos;!$B$58,0))))+IF(2=&apos;Property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-5526.2461613129199</v></c><c r="AN76" s="106"><f>IF(3&gt;&apos;Property Calculator&apos;!$B$11,0,((&apos;Property Calculator&apos;!$B$82*(1+&apos;Property Calculator&apos;!$B$83)^2)-(&apos;Property Calculator&apos;!$B$93*(1+&apos;Property Calculator&apos;!$B$16)^2)-AJ76-&apos;Property Calculator&apos;!$B$100*((&apos;Property Calculator&apos;!$B$82*(1+&apos;Property Calculator&apos;!$B$83)^2)-(&apos;Property Calculator&apos;!$B$93*(1+&apos;Property Calculator&apos;!$B$16)^2)+(&apos;Property Calculator&apos;!$B$87*(1+&apos;Property Calculator&apos;!$B$16)^1)-(IF(AG76&lt;=0,0,IFERROR(-CUMIPMT(&apos;Property Calculator&apos;!$B$65/12,&apos;Property Calculator&apos;!$B$70*12,AG76,25,36,0),0)))-AI76-&apos;Property Calculator&apos;!$B$101-(IF(3=1,&apos;Property Calculator&apos;!$B$58,0))))+IF(3=&apos;Property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-5530.3584679242631</v></c><c r="AO76" s="106"><f>IF(4&gt;&apos;Property Calculator&apos;!$B$11,0,((&apos;Property Calculator&apos;!$B$82*(1+&apos;Property Calculator&apos;!$B$83)^3)-(&apos;Property Calculator&apos;!$B$93*(1+&apos;Property Calculator&apos;!$B$16)^3)-AJ76-&apos;Property Calculator&apos;!$B$100*((&apos;Property Calculator&apos;!$B$82*(1+&apos;Property Calculator&apos;!$B$83)^3)-(&apos;Property Calculator&apos;!$B$93*(1+&apos;Property Calculator&apos;!$B$16)^3)+(&apos;Property Calculator&apos;!$B$87*(1+&apos;Property Calculator&apos;!$B$16)^1)-(IF(AG76&lt;=0,0,IFERROR(-CUMIPMT(&apos;Property Calculator&apos;!$B$65/12,&apos;Property Calculator&apos;!$B$70*12,AG76,37,48,0),0)))-AI76-&apos;Property Calculator&apos;!$B$101-(IF(4=1,&apos;Property Calculator&apos;!$B$58,0))))+IF(4=&apos;Property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-5536.3025127387209</v></c><c r="AP76" s="106"><f>IF(5&gt;&apos;Property Calculator&apos;!$B$11,0,((&apos;Property Calculator&apos;!$B$82*(1+&apos;Property Calculator&apos;!$B$83)^4)-(&apos;Property Calculator&apos;!$B$93*(1+&apos;Property Calculator&apos;!$B$16)^4)-AJ76-&apos;Property Calculator&apos;!$B$100*((&apos;Property Calculator&apos;!$B$82*(1+&apos;Property Calculator&apos;!$B$83)^4)-(&apos;Property Calculator&apos;!$B$93*(1+&apos;Property Calculator&apos;!$B$16)^4)+(&apos;Property Calculator&apos;!$B$87*(1+&apos;Property Calculator&apos;!$B$16)^1)-(IF(AG76&lt;=0,0,IFERROR(-CUMIPMT(&apos;Property Calculator&apos;!$B$65/12,&apos;Property Calculator&apos;!$B$70*12,AG76,49,60,0),0)))-AI76-&apos;Property Calculator&apos;!$B$101-(IF(5=1,&apos;Property Calculator&apos;!$B$58,0))))+IF(5=&apos;Property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-5544.1747517370477</v></c><c r="AQ76" s="106"><f>IF(6&gt;&apos;Property Calculator&apos;!$B$11,0,((&apos;Property Calculator&apos;!$B$82*(1+&apos;Property Calculator&apos;!$B$83)^5)-(&apos;Property Calculator&apos;!$B$93*(1+&apos;Property Calculator&apos;!$B$16)^5)-AJ76-&apos;Property Calculator&apos;!$B$100*((&apos;Property Calculator&apos;!$B$82*(1+&apos;Property Calculator&apos;!$B$83)^5)-(&apos;Property Calculator&apos;!$B$93*(1+&apos;Property Calculator&apos;!$B$16)^5)+(&apos;Property Calculator&apos;!$B$87*(1+&apos;Property Calculator&apos;!$B$16)^1)-(IF(AG76&lt;=0,0,IFERROR(-CUMIPMT(&apos;Property Calculator&apos;!$B$65/12,&apos;Property Calculator&apos;!$B$70*12,AG76,61,72,0),0)))-AI76-&apos;Property Calculator&apos;!$B$101-(IF(6=1,&apos;Property Calculator&apos;!$B$58,0))))+IF(6=&apos;Property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-5554.0756376058744</v></c><c r="AR76" s="106"><f>IF(7&gt;&apos;Property Calculator&apos;!$B$11,0,((&apos;Property Calculator&apos;!$B$82*(1+&apos;Property Calculator&apos;!$B$83)^6)-(&apos;Property Calculator&apos;!$B$93*(1+&apos;Property Calculator&apos;!$B$16)^6)-AJ76-&apos;Property Calculator&apos;!$B$100*((&apos;Property Calculator&apos;!$B$82*(1+&apos;Property Calculator&apos;!$B$83)^6)-(&apos;Property Calculator&apos;!$B$93*(1+&apos;Property Calculator&apos;!$B$16)^6)+(&apos;Property Calculator&apos;!$B$87*(1+&apos;Property Calculator&apos;!$B$16)^1)-(IF(AG76&lt;=0,0,IFERROR(-CUMIPMT(&apos;Property Calculator&apos;!$B$65/12,&apos;Property Calculator&apos;!$B$70*12,AG76,73,84,0),0)))-AI76-&apos;Property Calculator&apos;!$B$101-(IF(7=1,&apos;Property Calculator&apos;!$B$58,0))))+IF(7=&apos;Property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-5566.1097717077655</v></c><c r="AS76" s="106"><f>IF(8&gt;&apos;Property Calculator&apos;!$B$11,0,((&apos;Property Calculator&apos;!$B$82*(1+&apos;Property Calculator&apos;!$B$83)^7)-(&apos;Property Calculator&apos;!$B$93*(1+&apos;Property Calculator&apos;!$B$16)^7)-AJ76-&apos;Property Calculator&apos;!$B$100*((&apos;Property Calculator&apos;!$B$82*(1+&apos;Property Calculator&apos;!$B$83)^7)-(&apos;Property Calculator&apos;!$B$93*(1+&apos;Property Calculator&apos;!$B$16)^7)+(&apos;Property Calculator&apos;!$B$87*(1+&apos;Property Calculator&apos;!$B$16)^1)-(IF(AG76&lt;=0,0,IFERROR(-CUMIPMT(&apos;Property Calculator&apos;!$B$65/12,&apos;Property Calculator&apos;!$B$70*12,AG76,85,96,0),0)))-AI76-&apos;Property Calculator&apos;!$B$101-(IF(8=1,&apos;Property Calculator&apos;!$B$58,0))))+IF(8=&apos;Property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-5580.3860616152378</v></c><c r="AT76" s="106"><f>IF(9&gt;&apos;Property Calculator&apos;!$B$11,0,((&apos;Property Calculator&apos;!$B$82*(1+&apos;Property Calculator&apos;!$B$83)^8)-(&apos;Property Calculator&apos;!$B$93*(1+&apos;Property Calculator&apos;!$B$16)^8)-AJ76-&apos;Property Calculator&apos;!$B$100*((&apos;Property Calculator&apos;!$B$82*(1+&apos;Property Calculator&apos;!$B$83)^8)-(&apos;Property Calculator&apos;!$B$93*(1+&apos;Property Calculator&apos;!$B$16)^8)+(&apos;Property Calculator&apos;!$B$87*(1+&apos;Property Calculator&apos;!$B$16)^1)-(IF(AG76&lt;=0,0,IFERROR(-CUMIPMT(&apos;Property Calculator&apos;!$B$65/12,&apos;Property Calculator&apos;!$B$70*12,AG76,97,108,0),0)))-AI76-&apos;Property Calculator&apos;!$B$101-(IF(9=1,&apos;Property Calculator&apos;!$B$58,0))))+IF(9=&apos;Property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-5597.0178844088441</v></c><c r="AU76" s="106"><f>IF(10&gt;&apos;Property Calculator&apos;!$B$11,0,((&apos;Property Calculator&apos;!$B$82*(1+&apos;Property Calculator&apos;!$B$83)^9)-(&apos;Property Calculator&apos;!$B$93*(1+&apos;Property Calculator&apos;!$B$16)^9)-AJ76-&apos;Property Calculator&apos;!$B$100*((&apos;Property Calculator&apos;!$B$82*(1+&apos;Property Calculator&apos;!$B$83)^9)-(&apos;Property Calculator&apos;!$B$93*(1+&apos;Property Calculator&apos;!$B$16)^9)+(&apos;Property Calculator&apos;!$B$87*(1+&apos;Property Calculator&apos;!$B$16)^1)-(IF(AG76&lt;=0,0,IFERROR(-CUMIPMT(&apos;Property Calculator&apos;!$B$65/12,&apos;Property Calculator&apos;!$B$70*12,AG76,109,120,0),0)))-AI76-&apos;Property Calculator&apos;!$B$101-(IF(10=1,&apos;Property Calculator&apos;!$B$58,0))))+IF(10=&apos;Property Calculator&apos;!$B$11,($AE76*(1+&apos;Property Calculator&apos;!$B$12)^&apos;Property Calculator&apos;!$B$11)-(($AE76*(1+&apos;Property Calculator&apos;!$B$12)^&apos;Property Calculator&apos;!$B$11)*&apos;Exit Analysis&apos;!$B$5)-(IF(&apos;Property Calculator&apos;!$B$11&lt;10,MAX(0,($AE76*(1+&apos;Property Calculator&apos;!$B$12)^&apos;Property Calculator&apos;!$B$11)-($AE76*(1+$AB$7))+&apos;Property Calculator&apos;!$B$11*AI76-(($AE76*(1+&apos;Property Calculator&apos;!$B$12)^&apos;Property Calculator&apos;!$B$11)*&apos;Exit Analysis&apos;!$B$5))*&apos;Property Calculator&apos;!$B$100,0))-(IF(OR(AG76&lt;=0,&apos;Property Calculator&apos;!$B$11&gt;=&apos;Property Calculator&apos;!$B$70),0,IFERROR(PV(&apos;Property Calculator&apos;!$B$65/12,&apos;Property Calculator&apos;!$B$70*12-&apos;Property Calculator&apos;!$B$11*12,-AJ76/12),0))),0))</f><v>177165.82842130397</v></c><c r="AV76" s="37"><f>IFERROR(XIRR(AK76:AU76,&apos;Return Details&apos;!$L$4:$L$14),&quot;—&quot;)</f><v>4.4744315743446353E-2</v></c><c r="AW76" s="106"><f>IF(AND(ISNUMBER(AV76),AV76&gt;=$B$37,AL76&gt;=$B$38,AH76&lt;=$B$39,AF76&gt;&apos;Property Calculator&apos;!$B$63),AE76,0)</f><v>0</v></c><c r="AX76" s="106"><f t="shared" si="4"/>&lt;v&gt;0&lt;/v&gt;&lt;/c&gt;&lt;/row&gt;&lt;row r=&quot;77&quot; spans=&quot;31:50&quot; x14ac:dyDescent=&quot;0.25&quot;&gt;&lt;c r=&quot;AE77&quot; s=&quot;106&quot;&gt;&lt;v&gt;370000&lt;/v&gt;&lt;/c&gt;&lt;c r=&quot;AF77&quot; s=&quot;106&quot;&gt;&lt;f t=&quot;shared&quot; si=&quot;2&quot;/&gt;&lt;v&gt;420259&lt;/v&gt;&lt;/c&gt;&lt;c r=&quot;AG77&quot; s=&quot;106&quot;&gt;&lt;f&gt;MAX(0,AF77-&apos;Property Calculator&apos;!$B$63)</f><v>340259</v></c><c r="AH77" s="37"><f t="shared" si="3"/>&lt;v&gt;0.91961891891891889&lt;/v&gt;&lt;/c&gt;&lt;c r=&quot;AI77&quot; s=&quot;106&quot;&gt;&lt;f&gt;($AE77*(1+$AB$7)*&apos;Property Calculator&apos;!$B$96+&apos;Property Calculator&apos;!$B$59)*&apos;Property Calculator&apos;!$B$98</f><v>6456.9440000000004</v></c><c r="AJ77" s="106"><f>IF(AG77&lt;=0,0,PMT(&apos;Property Calculator&apos;!$B$65/12,&apos;Property Calculator&apos;!$B$70*12,-AG77)*12)</f><v>18334.979571497137</v></c><c r="AK77" s="106"><f>-&apos;Property Calculator&apos;!$B$63</f><v>-80000</v></c><c r="AL77" s="106"><f>IF(1&gt;&apos;Property Calculator&apos;!$B$11,0,((&apos;Property Calculator&apos;!$B$82*(1+&apos;Property Calculator&apos;!$B$83)^0)-(&apos;Property Calculator&apos;!$B$93*(1+&apos;Property Calculator&apos;!$B$16)^0)-AJ77-&apos;Property Calculator&apos;!$B$100*((&apos;Property Calculator&apos;!$B$82*(1+&apos;Property Calculator&apos;!$B$83)^0)-(&apos;Property Calculator&apos;!$B$93*(1+&apos;Property Calculator&apos;!$B$16)^0)+(&apos;Property Calculator&apos;!$B$87*(1+&apos;Property Calculator&apos;!$B$16)^0)-(IF(AG77&lt;=0,0,IFERROR(-CUMIPMT(&apos;Property Calculator&apos;!$B$65/12,&apos;Property Calculator&apos;!$B$70*12,AG77,1,12,0),0)))-AI77-&apos;Property Calculator&apos;!$B$101-(IF(1=1,&apos;Property Calculator&apos;!$B$58,0))))+IF(1=&apos;Property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429.0259141404822</v></c><c r="AM77" s="106"><f>IF(2&gt;&apos;Property Calculator&apos;!$B$11,0,((&apos;Property Calculator&apos;!$B$82*(1+&apos;Property Calculator&apos;!$B$83)^1)-(&apos;Property Calculator&apos;!$B$93*(1+&apos;Property Calculator&apos;!$B$16)^1)-AJ77-&apos;Property Calculator&apos;!$B$100*((&apos;Property Calculator&apos;!$B$82*(1+&apos;Property Calculator&apos;!$B$83)^1)-(&apos;Property Calculator&apos;!$B$93*(1+&apos;Property Calculator&apos;!$B$16)^1)+(&apos;Property Calculator&apos;!$B$87*(1+&apos;Property Calculator&apos;!$B$16)^1)-(IF(AG77&lt;=0,0,IFERROR(-CUMIPMT(&apos;Property Calculator&apos;!$B$65/12,&apos;Property Calculator&apos;!$B$70*12,AG77,13,24,0),0)))-AI77-&apos;Property Calculator&apos;!$B$101-(IF(2=1,&apos;Property Calculator&apos;!$B$58,0))))+IF(2=&apos;Property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-5884.874096881671</v></c><c r="AN77" s="106"><f>IF(3&gt;&apos;Property Calculator&apos;!$B$11,0,((&apos;Property Calculator&apos;!$B$82*(1+&apos;Property Calculator&apos;!$B$83)^2)-(&apos;Property Calculator&apos;!$B$93*(1+&apos;Property Calculator&apos;!$B$16)^2)-AJ77-&apos;Property Calculator&apos;!$B$100*((&apos;Property Calculator&apos;!$B$82*(1+&apos;Property Calculator&apos;!$B$83)^2)-(&apos;Property Calculator&apos;!$B$93*(1+&apos;Property Calculator&apos;!$B$16)^2)+(&apos;Property Calculator&apos;!$B$87*(1+&apos;Property Calculator&apos;!$B$16)^1)-(IF(AG77&lt;=0,0,IFERROR(-CUMIPMT(&apos;Property Calculator&apos;!$B$65/12,&apos;Property Calculator&apos;!$B$70*12,AG77,25,36,0),0)))-AI77-&apos;Property Calculator&apos;!$B$101-(IF(3=1,&apos;Property Calculator&apos;!$B$58,0))))+IF(3=&apos;Property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-5892.2244522879209</v></c><c r="AO77" s="106"><f>IF(4&gt;&apos;Property Calculator&apos;!$B$11,0,((&apos;Property Calculator&apos;!$B$82*(1+&apos;Property Calculator&apos;!$B$83)^3)-(&apos;Property Calculator&apos;!$B$93*(1+&apos;Property Calculator&apos;!$B$16)^3)-AJ77-&apos;Property Calculator&apos;!$B$100*((&apos;Property Calculator&apos;!$B$82*(1+&apos;Property Calculator&apos;!$B$83)^3)-(&apos;Property Calculator&apos;!$B$93*(1+&apos;Property Calculator&apos;!$B$16)^3)+(&apos;Property Calculator&apos;!$B$87*(1+&apos;Property Calculator&apos;!$B$16)^1)-(IF(AG77&lt;=0,0,IFERROR(-CUMIPMT(&apos;Property Calculator&apos;!$B$65/12,&apos;Property Calculator&apos;!$B$70*12,AG77,37,48,0),0)))-AI77-&apos;Property Calculator&apos;!$B$101-(IF(4=1,&apos;Property Calculator&apos;!$B$58,0))))+IF(4=&apos;Property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-5901.5217134264103</v></c><c r="AP77" s="106"><f>IF(5&gt;&apos;Property Calculator&apos;!$B$11,0,((&apos;Property Calculator&apos;!$B$82*(1+&apos;Property Calculator&apos;!$B$83)^4)-(&apos;Property Calculator&apos;!$B$93*(1+&apos;Property Calculator&apos;!$B$16)^4)-AJ77-&apos;Property Calculator&apos;!$B$100*((&apos;Property Calculator&apos;!$B$82*(1+&apos;Property Calculator&apos;!$B$83)^4)-(&apos;Property Calculator&apos;!$B$93*(1+&apos;Property Calculator&apos;!$B$16)^4)+(&apos;Property Calculator&apos;!$B$87*(1+&apos;Property Calculator&apos;!$B$16)^1)-(IF(AG77&lt;=0,0,IFERROR(-CUMIPMT(&apos;Property Calculator&apos;!$B$65/12,&apos;Property Calculator&apos;!$B$70*12,AG77,49,60,0),0)))-AI77-&apos;Property Calculator&apos;!$B$101-(IF(5=1,&apos;Property Calculator&apos;!$B$58,0))))+IF(5=&apos;Property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-5912.8664324359834</v></c><c r="AQ77" s="106"><f>IF(6&gt;&apos;Property Calculator&apos;!$B$11,0,((&apos;Property Calculator&apos;!$B$82*(1+&apos;Property Calculator&apos;!$B$83)^5)-(&apos;Property Calculator&apos;!$B$93*(1+&apos;Property Calculator&apos;!$B$16)^5)-AJ77-&apos;Property Calculator&apos;!$B$100*((&apos;Property Calculator&apos;!$B$82*(1+&apos;Property Calculator&apos;!$B$83)^5)-(&apos;Property Calculator&apos;!$B$93*(1+&apos;Property Calculator&apos;!$B$16)^5)+(&apos;Property Calculator&apos;!$B$87*(1+&apos;Property Calculator&apos;!$B$16)^1)-(IF(AG77&lt;=0,0,IFERROR(-CUMIPMT(&apos;Property Calculator&apos;!$B$65/12,&apos;Property Calculator&apos;!$B$70*12,AG77,61,72,0),0)))-AI77-&apos;Property Calculator&apos;!$B$101-(IF(6=1,&apos;Property Calculator&apos;!$B$58,0))))+IF(6=&apos;Property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-5926.3633038492208</v></c><c r="AR77" s="106"><f>IF(7&gt;&apos;Property Calculator&apos;!$B$11,0,((&apos;Property Calculator&apos;!$B$82*(1+&apos;Property Calculator&apos;!$B$83)^6)-(&apos;Property Calculator&apos;!$B$93*(1+&apos;Property Calculator&apos;!$B$16)^6)-AJ77-&apos;Property Calculator&apos;!$B$100*((&apos;Property Calculator&apos;!$B$82*(1+&apos;Property Calculator&apos;!$B$83)^6)-(&apos;Property Calculator&apos;!$B$93*(1+&apos;Property Calculator&apos;!$B$16)^6)+(&apos;Property Calculator&apos;!$B$87*(1+&apos;Property Calculator&apos;!$B$16)^1)-(IF(AG77&lt;=0,0,IFERROR(-CUMIPMT(&apos;Property Calculator&apos;!$B$65/12,&apos;Property Calculator&apos;!$B$70*12,AG77,73,84,0),0)))-AI77-&apos;Property Calculator&apos;!$B$101-(IF(7=1,&apos;Property Calculator&apos;!$B$58,0))))+IF(7=&apos;Property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-5942.1213217441764</v></c><c r="AS77" s="106"><f>IF(8&gt;&apos;Property Calculator&apos;!$B$11,0,((&apos;Property Calculator&apos;!$B$82*(1+&apos;Property Calculator&apos;!$B$83)^7)-(&apos;Property Calculator&apos;!$B$93*(1+&apos;Property Calculator&apos;!$B$16)^7)-AJ77-&apos;Property Calculator&apos;!$B$100*((&apos;Property Calculator&apos;!$B$82*(1+&apos;Property Calculator&apos;!$B$83)^7)-(&apos;Property Calculator&apos;!$B$93*(1+&apos;Property Calculator&apos;!$B$16)^7)+(&apos;Property Calculator&apos;!$B$87*(1+&apos;Property Calculator&apos;!$B$16)^1)-(IF(AG77&lt;=0,0,IFERROR(-CUMIPMT(&apos;Property Calculator&apos;!$B$65/12,&apos;Property Calculator&apos;!$B$70*12,AG77,85,96,0),0)))-AI77-&apos;Property Calculator&apos;!$B$101-(IF(8=1,&apos;Property Calculator&apos;!$B$58,0))))+IF(8=&apos;Property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-5960.2539426443573</v></c><c r="AT77" s="106"><f>IF(9&gt;&apos;Property Calculator&apos;!$B$11,0,((&apos;Property Calculator&apos;!$B$82*(1+&apos;Property Calculator&apos;!$B$83)^8)-(&apos;Property Calculator&apos;!$B$93*(1+&apos;Property Calculator&apos;!$B$16)^8)-AJ77-&apos;Property Calculator&apos;!$B$100*((&apos;Property Calculator&apos;!$B$82*(1+&apos;Property Calculator&apos;!$B$83)^8)-(&apos;Property Calculator&apos;!$B$93*(1+&apos;Property Calculator&apos;!$B$16)^8)+(&apos;Property Calculator&apos;!$B$87*(1+&apos;Property Calculator&apos;!$B$16)^1)-(IF(AG77&lt;=0,0,IFERROR(-CUMIPMT(&apos;Property Calculator&apos;!$B$65/12,&apos;Property Calculator&apos;!$B$70*12,AG77,97,108,0),0)))-AI77-&apos;Property Calculator&apos;!$B$101-(IF(9=1,&apos;Property Calculator&apos;!$B$58,0))))+IF(9=&apos;Property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-5980.8792543736317</v></c><c r="AU77" s="106"><f>IF(10&gt;&apos;Property Calculator&apos;!$B$11,0,((&apos;Property Calculator&apos;!$B$82*(1+&apos;Property Calculator&apos;!$B$83)^9)-(&apos;Property Calculator&apos;!$B$93*(1+&apos;Property Calculator&apos;!$B$16)^9)-AJ77-&apos;Property Calculator&apos;!$B$100*((&apos;Property Calculator&apos;!$B$82*(1+&apos;Property Calculator&apos;!$B$83)^9)-(&apos;Property Calculator&apos;!$B$93*(1+&apos;Property Calculator&apos;!$B$16)^9)+(&apos;Property Calculator&apos;!$B$87*(1+&apos;Property Calculator&apos;!$B$16)^1)-(IF(AG77&lt;=0,0,IFERROR(-CUMIPMT(&apos;Property Calculator&apos;!$B$65/12,&apos;Property Calculator&apos;!$B$70*12,AG77,109,120,0),0)))-AI77-&apos;Property Calculator&apos;!$B$101-(IF(10=1,&apos;Property Calculator&apos;!$B$58,0))))+IF(10=&apos;Property Calculator&apos;!$B$11,($AE77*(1+&apos;Property Calculator&apos;!$B$12)^&apos;Property Calculator&apos;!$B$11)-(($AE77*(1+&apos;Property Calculator&apos;!$B$12)^&apos;Property Calculator&apos;!$B$11)*&apos;Exit Analysis&apos;!$B$5)-(IF(&apos;Property Calculator&apos;!$B$11&lt;10,MAX(0,($AE77*(1+&apos;Property Calculator&apos;!$B$12)^&apos;Property Calculator&apos;!$B$11)-($AE77*(1+$AB$7))+&apos;Property Calculator&apos;!$B$11*AI77-(($AE77*(1+&apos;Property Calculator&apos;!$B$12)^&apos;Property Calculator&apos;!$B$11)*&apos;Exit Analysis&apos;!$B$5))*&apos;Property Calculator&apos;!$B$100,0))-(IF(OR(AG77&lt;=0,&apos;Property Calculator&apos;!$B$11&gt;=&apos;Property Calculator&apos;!$B$70),0,IFERROR(PV(&apos;Property Calculator&apos;!$B$65/12,&apos;Property Calculator&apos;!$B$70*12-&apos;Property Calculator&apos;!$B$11*12,-AJ77/12),0))),0))</f><v>180493.68540375828</v></c><c r="AV77" s="37"><f>IFERROR(XIRR(AK77:AU77,&apos;Return Details&apos;!$L$4:$L$14),&quot;—&quot;)</f><v>4.4173493981361389E-2</v></c><c r="AW77" s="106"><f>IF(AND(ISNUMBER(AV77),AV77&gt;=$B$37,AL77&gt;=$B$38,AH77&lt;=$B$39,AF77&gt;&apos;Property Calculator&apos;!$B$63),AE77,0)</f><v>0</v></c><c r="AX77" s="106"><f t="shared" si="4"/>&lt;v&gt;0&lt;/v&gt;&lt;/c&gt;&lt;/row&gt;&lt;row r=&quot;78&quot; spans=&quot;31:50&quot; x14ac:dyDescent=&quot;0.25&quot;&gt;&lt;c r=&quot;AE78&quot; s=&quot;106&quot;&gt;&lt;v&gt;380000&lt;/v&gt;&lt;/c&gt;&lt;c r=&quot;AF78&quot; s=&quot;106&quot;&gt;&lt;f t=&quot;shared&quot; si=&quot;2&quot;/&gt;&lt;v&gt;431166&lt;/v&gt;&lt;/c&gt;&lt;c r=&quot;AG78&quot; s=&quot;106&quot;&gt;&lt;f&gt;MAX(0,AF78-&apos;Property Calculator&apos;!$B$63)</f><v>351166</v></c><c r="AH78" s="37"><f t="shared" si="3"/>&lt;v&gt;0.92412105263157895&lt;/v&gt;&lt;/c&gt;&lt;c r=&quot;AI78&quot; s=&quot;106&quot;&gt;&lt;f&gt;($AE78*(1+$AB$7)*&apos;Property Calculator&apos;!$B$96+&apos;Property Calculator&apos;!$B$59)*&apos;Property Calculator&apos;!$B$98</f><v>6631.456000000001</v></c><c r="AJ78" s="106"><f>IF(AG78&lt;=0,0,PMT(&apos;Property Calculator&apos;!$B$65/12,&apos;Property Calculator&apos;!$B$70*12,-AG78)*12)</f><v>18922.707220688841</v></c><c r="AK78" s="106"><f>-&apos;Property Calculator&apos;!$B$63</f><v>-80000</v></c><c r="AL78" s="106"><f>IF(1&gt;&apos;Property Calculator&apos;!$B$11,0,((&apos;Property Calculator&apos;!$B$82*(1+&apos;Property Calculator&apos;!$B$83)^0)-(&apos;Property Calculator&apos;!$B$93*(1+&apos;Property Calculator&apos;!$B$16)^0)-AJ78-&apos;Property Calculator&apos;!$B$100*((&apos;Property Calculator&apos;!$B$82*(1+&apos;Property Calculator&apos;!$B$83)^0)-(&apos;Property Calculator&apos;!$B$93*(1+&apos;Property Calculator&apos;!$B$16)^0)+(&apos;Property Calculator&apos;!$B$87*(1+&apos;Property Calculator&apos;!$B$16)^0)-(IF(AG78&lt;=0,0,IFERROR(-CUMIPMT(&apos;Property Calculator&apos;!$B$65/12,&apos;Property Calculator&apos;!$B$70*12,AG78,1,12,0),0)))-AI78-&apos;Property Calculator&apos;!$B$101-(IF(1=1,&apos;Property Calculator&apos;!$B$58,0))))+IF(1=&apos;Property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73.524815311444399</v></c><c r="AM78" s="106"><f>IF(2&gt;&apos;Property Calculator&apos;!$B$11,0,((&apos;Property Calculator&apos;!$B$82*(1+&apos;Property Calculator&apos;!$B$83)^1)-(&apos;Property Calculator&apos;!$B$93*(1+&apos;Property Calculator&apos;!$B$16)^1)-AJ78-&apos;Property Calculator&apos;!$B$100*((&apos;Property Calculator&apos;!$B$82*(1+&apos;Property Calculator&apos;!$B$83)^1)-(&apos;Property Calculator&apos;!$B$93*(1+&apos;Property Calculator&apos;!$B$16)^1)+(&apos;Property Calculator&apos;!$B$87*(1+&apos;Property Calculator&apos;!$B$16)^1)-(IF(AG78&lt;=0,0,IFERROR(-CUMIPMT(&apos;Property Calculator&apos;!$B$65/12,&apos;Property Calculator&apos;!$B$70*12,AG78,13,24,0),0)))-AI78-&apos;Property Calculator&apos;!$B$101-(IF(2=1,&apos;Property Calculator&apos;!$B$58,0))))+IF(2=&apos;Property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-6243.5020324504258</v></c><c r="AN78" s="106"><f>IF(3&gt;&apos;Property Calculator&apos;!$B$11,0,((&apos;Property Calculator&apos;!$B$82*(1+&apos;Property Calculator&apos;!$B$83)^2)-(&apos;Property Calculator&apos;!$B$93*(1+&apos;Property Calculator&apos;!$B$16)^2)-AJ78-&apos;Property Calculator&apos;!$B$100*((&apos;Property Calculator&apos;!$B$82*(1+&apos;Property Calculator&apos;!$B$83)^2)-(&apos;Property Calculator&apos;!$B$93*(1+&apos;Property Calculator&apos;!$B$16)^2)+(&apos;Property Calculator&apos;!$B$87*(1+&apos;Property Calculator&apos;!$B$16)^1)-(IF(AG78&lt;=0,0,IFERROR(-CUMIPMT(&apos;Property Calculator&apos;!$B$65/12,&apos;Property Calculator&apos;!$B$70*12,AG78,25,36,0),0)))-AI78-&apos;Property Calculator&apos;!$B$101-(IF(3=1,&apos;Property Calculator&apos;!$B$58,0))))+IF(3=&apos;Property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-6254.0904366515824</v></c><c r="AO78" s="106"><f>IF(4&gt;&apos;Property Calculator&apos;!$B$11,0,((&apos;Property Calculator&apos;!$B$82*(1+&apos;Property Calculator&apos;!$B$83)^3)-(&apos;Property Calculator&apos;!$B$93*(1+&apos;Property Calculator&apos;!$B$16)^3)-AJ78-&apos;Property Calculator&apos;!$B$100*((&apos;Property Calculator&apos;!$B$82*(1+&apos;Property Calculator&apos;!$B$83)^3)-(&apos;Property Calculator&apos;!$B$93*(1+&apos;Property Calculator&apos;!$B$16)^3)+(&apos;Property Calculator&apos;!$B$87*(1+&apos;Property Calculator&apos;!$B$16)^1)-(IF(AG78&lt;=0,0,IFERROR(-CUMIPMT(&apos;Property Calculator&apos;!$B$65/12,&apos;Property Calculator&apos;!$B$70*12,AG78,37,48,0),0)))-AI78-&apos;Property Calculator&apos;!$B$101-(IF(4=1,&apos;Property Calculator&apos;!$B$58,0))))+IF(4=&apos;Property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-6266.7409141141025</v></c><c r="AP78" s="106"><f>IF(5&gt;&apos;Property Calculator&apos;!$B$11,0,((&apos;Property Calculator&apos;!$B$82*(1+&apos;Property Calculator&apos;!$B$83)^4)-(&apos;Property Calculator&apos;!$B$93*(1+&apos;Property Calculator&apos;!$B$16)^4)-AJ78-&apos;Property Calculator&apos;!$B$100*((&apos;Property Calculator&apos;!$B$82*(1+&apos;Property Calculator&apos;!$B$83)^4)-(&apos;Property Calculator&apos;!$B$93*(1+&apos;Property Calculator&apos;!$B$16)^4)+(&apos;Property Calculator&apos;!$B$87*(1+&apos;Property Calculator&apos;!$B$16)^1)-(IF(AG78&lt;=0,0,IFERROR(-CUMIPMT(&apos;Property Calculator&apos;!$B$65/12,&apos;Property Calculator&apos;!$B$70*12,AG78,49,60,0),0)))-AI78-&apos;Property Calculator&apos;!$B$101-(IF(5=1,&apos;Property Calculator&apos;!$B$58,0))))+IF(5=&apos;Property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-6281.5581131349209</v></c><c r="AQ78" s="106"><f>IF(6&gt;&apos;Property Calculator&apos;!$B$11,0,((&apos;Property Calculator&apos;!$B$82*(1+&apos;Property Calculator&apos;!$B$83)^5)-(&apos;Property Calculator&apos;!$B$93*(1+&apos;Property Calculator&apos;!$B$16)^5)-AJ78-&apos;Property Calculator&apos;!$B$100*((&apos;Property Calculator&apos;!$B$82*(1+&apos;Property Calculator&apos;!$B$83)^5)-(&apos;Property Calculator&apos;!$B$93*(1+&apos;Property Calculator&apos;!$B$16)^5)+(&apos;Property Calculator&apos;!$B$87*(1+&apos;Property Calculator&apos;!$B$16)^1)-(IF(AG78&lt;=0,0,IFERROR(-CUMIPMT(&apos;Property Calculator&apos;!$B$65/12,&apos;Property Calculator&apos;!$B$70*12,AG78,61,72,0),0)))-AI78-&apos;Property Calculator&apos;!$B$101-(IF(6=1,&apos;Property Calculator&apos;!$B$58,0))))+IF(6=&apos;Property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-6298.6509700925708</v></c><c r="AR78" s="106"><f>IF(7&gt;&apos;Property Calculator&apos;!$B$11,0,((&apos;Property Calculator&apos;!$B$82*(1+&apos;Property Calculator&apos;!$B$83)^6)-(&apos;Property Calculator&apos;!$B$93*(1+&apos;Property Calculator&apos;!$B$16)^6)-AJ78-&apos;Property Calculator&apos;!$B$100*((&apos;Property Calculator&apos;!$B$82*(1+&apos;Property Calculator&apos;!$B$83)^6)-(&apos;Property Calculator&apos;!$B$93*(1+&apos;Property Calculator&apos;!$B$16)^6)+(&apos;Property Calculator&apos;!$B$87*(1+&apos;Property Calculator&apos;!$B$16)^1)-(IF(AG78&lt;=0,0,IFERROR(-CUMIPMT(&apos;Property Calculator&apos;!$B$65/12,&apos;Property Calculator&apos;!$B$70*12,AG78,73,84,0),0)))-AI78-&apos;Property Calculator&apos;!$B$101-(IF(7=1,&apos;Property Calculator&apos;!$B$58,0))))+IF(7=&apos;Property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-6318.13287178059</v></c><c r="AS78" s="106"><f>IF(8&gt;&apos;Property Calculator&apos;!$B$11,0,((&apos;Property Calculator&apos;!$B$82*(1+&apos;Property Calculator&apos;!$B$83)^7)-(&apos;Property Calculator&apos;!$B$93*(1+&apos;Property Calculator&apos;!$B$16)^7)-AJ78-&apos;Property Calculator&apos;!$B$100*((&apos;Property Calculator&apos;!$B$82*(1+&apos;Property Calculator&apos;!$B$83)^7)-(&apos;Property Calculator&apos;!$B$93*(1+&apos;Property Calculator&apos;!$B$16)^7)+(&apos;Property Calculator&apos;!$B$87*(1+&apos;Property Calculator&apos;!$B$16)^1)-(IF(AG78&lt;=0,0,IFERROR(-CUMIPMT(&apos;Property Calculator&apos;!$B$65/12,&apos;Property Calculator&apos;!$B$70*12,AG78,85,96,0),0)))-AI78-&apos;Property Calculator&apos;!$B$101-(IF(8=1,&apos;Property Calculator&apos;!$B$58,0))))+IF(8=&apos;Property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-6340.1218236734785</v></c><c r="AT78" s="106"><f>IF(9&gt;&apos;Property Calculator&apos;!$B$11,0,((&apos;Property Calculator&apos;!$B$82*(1+&apos;Property Calculator&apos;!$B$83)^8)-(&apos;Property Calculator&apos;!$B$93*(1+&apos;Property Calculator&apos;!$B$16)^8)-AJ78-&apos;Property Calculator&apos;!$B$100*((&apos;Property Calculator&apos;!$B$82*(1+&apos;Property Calculator&apos;!$B$83)^8)-(&apos;Property Calculator&apos;!$B$93*(1+&apos;Property Calculator&apos;!$B$16)^8)+(&apos;Property Calculator&apos;!$B$87*(1+&apos;Property Calculator&apos;!$B$16)^1)-(IF(AG78&lt;=0,0,IFERROR(-CUMIPMT(&apos;Property Calculator&apos;!$B$65/12,&apos;Property Calculator&apos;!$B$70*12,AG78,97,108,0),0)))-AI78-&apos;Property Calculator&apos;!$B$101-(IF(9=1,&apos;Property Calculator&apos;!$B$58,0))))+IF(9=&apos;Property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-6364.740624338423</v></c><c r="AU78" s="106"><f>IF(10&gt;&apos;Property Calculator&apos;!$B$11,0,((&apos;Property Calculator&apos;!$B$82*(1+&apos;Property Calculator&apos;!$B$83)^9)-(&apos;Property Calculator&apos;!$B$93*(1+&apos;Property Calculator&apos;!$B$16)^9)-AJ78-&apos;Property Calculator&apos;!$B$100*((&apos;Property Calculator&apos;!$B$82*(1+&apos;Property Calculator&apos;!$B$83)^9)-(&apos;Property Calculator&apos;!$B$93*(1+&apos;Property Calculator&apos;!$B$16)^9)+(&apos;Property Calculator&apos;!$B$87*(1+&apos;Property Calculator&apos;!$B$16)^1)-(IF(AG78&lt;=0,0,IFERROR(-CUMIPMT(&apos;Property Calculator&apos;!$B$65/12,&apos;Property Calculator&apos;!$B$70*12,AG78,109,120,0),0)))-AI78-&apos;Property Calculator&apos;!$B$101-(IF(10=1,&apos;Property Calculator&apos;!$B$58,0))))+IF(10=&apos;Property Calculator&apos;!$B$11,($AE78*(1+&apos;Property Calculator&apos;!$B$12)^&apos;Property Calculator&apos;!$B$11)-(($AE78*(1+&apos;Property Calculator&apos;!$B$12)^&apos;Property Calculator&apos;!$B$11)*&apos;Exit Analysis&apos;!$B$5)-(IF(&apos;Property Calculator&apos;!$B$11&lt;10,MAX(0,($AE78*(1+&apos;Property Calculator&apos;!$B$12)^&apos;Property Calculator&apos;!$B$11)-($AE78*(1+$AB$7))+&apos;Property Calculator&apos;!$B$11*AI78-(($AE78*(1+&apos;Property Calculator&apos;!$B$12)^&apos;Property Calculator&apos;!$B$11)*&apos;Exit Analysis&apos;!$B$5))*&apos;Property Calculator&apos;!$B$100,0))-(IF(OR(AG78&lt;=0,&apos;Property Calculator&apos;!$B$11&gt;=&apos;Property Calculator&apos;!$B$70),0,IFERROR(PV(&apos;Property Calculator&apos;!$B$65/12,&apos;Property Calculator&apos;!$B$70*12-&apos;Property Calculator&apos;!$B$11*12,-AJ78/12),0))),0))</f><v>183821.5423862125</v></c><c r="AV78" s="37"><f>IFERROR(XIRR(AK78:AU78,&apos;Return Details&apos;!$L$4:$L$14),&quot;—&quot;)</f><v>4.361641705036165E-2</v></c><c r="AW78" s="106"><f>IF(AND(ISNUMBER(AV78),AV78&gt;=$B$37,AL78&gt;=$B$38,AH78&lt;=$B$39,AF78&gt;&apos;Property Calculator&apos;!$B$63),AE78,0)</f><v>0</v></c><c r="AX78" s="106"><f t="shared" si="4"/>&lt;v&gt;0&lt;/v&gt;&lt;/c&gt;&lt;/row&gt;&lt;row r=&quot;79&quot; spans=&quot;31:50&quot; x14ac:dyDescent=&quot;0.25&quot;&gt;&lt;c r=&quot;AE79&quot; s=&quot;106&quot;&gt;&lt;v&gt;390000&lt;/v&gt;&lt;/c&gt;&lt;c r=&quot;AF79&quot; s=&quot;106&quot;&gt;&lt;f t=&quot;shared&quot; si=&quot;2&quot;/&gt;&lt;v&gt;442073&lt;/v&gt;&lt;/c&gt;&lt;c r=&quot;AG79&quot; s=&quot;106&quot;&gt;&lt;f&gt;MAX(0,AF79-&apos;Property Calculator&apos;!$B$63)</f><v>362073</v></c><c r="AH79" s="37"><f t="shared" si="3"/>&lt;v&gt;0.92839230769230774&lt;/v&gt;&lt;/c&gt;&lt;c r=&quot;AI79&quot; s=&quot;106&quot;&gt;&lt;f&gt;($AE79*(1+$AB$7)*&apos;Property Calculator&apos;!$B$96+&apos;Property Calculator&apos;!$B$59)*&apos;Property Calculator&apos;!$B$98</f><v>6805.9680000000008</v></c><c r="AJ79" s="106"><f>IF(AG79&lt;=0,0,PMT(&apos;Property Calculator&apos;!$B$65/12,&apos;Property Calculator&apos;!$B$70*12,-AG79)*12)</f><v>19510.434869880541</v></c><c r="AK79" s="106"><f>-&apos;Property Calculator&apos;!$B$63</f><v>-80000</v></c><c r="AL79" s="106"><f>IF(1&gt;&apos;Property Calculator&apos;!$B$11,0,((&apos;Property Calculator&apos;!$B$82*(1+&apos;Property Calculator&apos;!$B$83)^0)-(&apos;Property Calculator&apos;!$B$93*(1+&apos;Property Calculator&apos;!$B$16)^0)-AJ79-&apos;Property Calculator&apos;!$B$100*((&apos;Property Calculator&apos;!$B$82*(1+&apos;Property Calculator&apos;!$B$83)^0)-(&apos;Property Calculator&apos;!$B$93*(1+&apos;Property Calculator&apos;!$B$16)^0)+(&apos;Property Calculator&apos;!$B$87*(1+&apos;Property Calculator&apos;!$B$16)^0)-(IF(AG79&lt;=0,0,IFERROR(-CUMIPMT(&apos;Property Calculator&apos;!$B$65/12,&apos;Property Calculator&apos;!$B$70*12,AG79,1,12,0),0)))-AI79-&apos;Property Calculator&apos;!$B$101-(IF(1=1,&apos;Property Calculator&apos;!$B$58,0))))+IF(1=&apos;Property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-281.9762835175934</v></c><c r="AM79" s="106"><f>IF(2&gt;&apos;Property Calculator&apos;!$B$11,0,((&apos;Property Calculator&apos;!$B$82*(1+&apos;Property Calculator&apos;!$B$83)^1)-(&apos;Property Calculator&apos;!$B$93*(1+&apos;Property Calculator&apos;!$B$16)^1)-AJ79-&apos;Property Calculator&apos;!$B$100*((&apos;Property Calculator&apos;!$B$82*(1+&apos;Property Calculator&apos;!$B$83)^1)-(&apos;Property Calculator&apos;!$B$93*(1+&apos;Property Calculator&apos;!$B$16)^1)+(&apos;Property Calculator&apos;!$B$87*(1+&apos;Property Calculator&apos;!$B$16)^1)-(IF(AG79&lt;=0,0,IFERROR(-CUMIPMT(&apos;Property Calculator&apos;!$B$65/12,&apos;Property Calculator&apos;!$B$70*12,AG79,13,24,0),0)))-AI79-&apos;Property Calculator&apos;!$B$101-(IF(2=1,&apos;Property Calculator&apos;!$B$58,0))))+IF(2=&apos;Property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-6602.1299680191778</v></c><c r="AN79" s="106"><f>IF(3&gt;&apos;Property Calculator&apos;!$B$11,0,((&apos;Property Calculator&apos;!$B$82*(1+&apos;Property Calculator&apos;!$B$83)^2)-(&apos;Property Calculator&apos;!$B$93*(1+&apos;Property Calculator&apos;!$B$16)^2)-AJ79-&apos;Property Calculator&apos;!$B$100*((&apos;Property Calculator&apos;!$B$82*(1+&apos;Property Calculator&apos;!$B$83)^2)-(&apos;Property Calculator&apos;!$B$93*(1+&apos;Property Calculator&apos;!$B$16)^2)+(&apos;Property Calculator&apos;!$B$87*(1+&apos;Property Calculator&apos;!$B$16)^1)-(IF(AG79&lt;=0,0,IFERROR(-CUMIPMT(&apos;Property Calculator&apos;!$B$65/12,&apos;Property Calculator&apos;!$B$70*12,AG79,25,36,0),0)))-AI79-&apos;Property Calculator&apos;!$B$101-(IF(3=1,&apos;Property Calculator&apos;!$B$58,0))))+IF(3=&apos;Property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-6615.9564210152403</v></c><c r="AO79" s="106"><f>IF(4&gt;&apos;Property Calculator&apos;!$B$11,0,((&apos;Property Calculator&apos;!$B$82*(1+&apos;Property Calculator&apos;!$B$83)^3)-(&apos;Property Calculator&apos;!$B$93*(1+&apos;Property Calculator&apos;!$B$16)^3)-AJ79-&apos;Property Calculator&apos;!$B$100*((&apos;Property Calculator&apos;!$B$82*(1+&apos;Property Calculator&apos;!$B$83)^3)-(&apos;Property Calculator&apos;!$B$93*(1+&apos;Property Calculator&apos;!$B$16)^3)+(&apos;Property Calculator&apos;!$B$87*(1+&apos;Property Calculator&apos;!$B$16)^1)-(IF(AG79&lt;=0,0,IFERROR(-CUMIPMT(&apos;Property Calculator&apos;!$B$65/12,&apos;Property Calculator&apos;!$B$70*12,AG79,37,48,0),0)))-AI79-&apos;Property Calculator&apos;!$B$101-(IF(4=1,&apos;Property Calculator&apos;!$B$58,0))))+IF(4=&apos;Property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-6631.9601148017919</v></c><c r="AP79" s="106"><f>IF(5&gt;&apos;Property Calculator&apos;!$B$11,0,((&apos;Property Calculator&apos;!$B$82*(1+&apos;Property Calculator&apos;!$B$83)^4)-(&apos;Property Calculator&apos;!$B$93*(1+&apos;Property Calculator&apos;!$B$16)^4)-AJ79-&apos;Property Calculator&apos;!$B$100*((&apos;Property Calculator&apos;!$B$82*(1+&apos;Property Calculator&apos;!$B$83)^4)-(&apos;Property Calculator&apos;!$B$93*(1+&apos;Property Calculator&apos;!$B$16)^4)+(&apos;Property Calculator&apos;!$B$87*(1+&apos;Property Calculator&apos;!$B$16)^1)-(IF(AG79&lt;=0,0,IFERROR(-CUMIPMT(&apos;Property Calculator&apos;!$B$65/12,&apos;Property Calculator&apos;!$B$70*12,AG79,49,60,0),0)))-AI79-&apos;Property Calculator&apos;!$B$101-(IF(5=1,&apos;Property Calculator&apos;!$B$58,0))))+IF(5=&apos;Property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-6650.2497938338565</v></c><c r="AQ79" s="106"><f>IF(6&gt;&apos;Property Calculator&apos;!$B$11,0,((&apos;Property Calculator&apos;!$B$82*(1+&apos;Property Calculator&apos;!$B$83)^5)-(&apos;Property Calculator&apos;!$B$93*(1+&apos;Property Calculator&apos;!$B$16)^5)-AJ79-&apos;Property Calculator&apos;!$B$100*((&apos;Property Calculator&apos;!$B$82*(1+&apos;Property Calculator&apos;!$B$83)^5)-(&apos;Property Calculator&apos;!$B$93*(1+&apos;Property Calculator&apos;!$B$16)^5)+(&apos;Property Calculator&apos;!$B$87*(1+&apos;Property Calculator&apos;!$B$16)^1)-(IF(AG79&lt;=0,0,IFERROR(-CUMIPMT(&apos;Property Calculator&apos;!$B$65/12,&apos;Property Calculator&apos;!$B$70*12,AG79,61,72,0),0)))-AI79-&apos;Property Calculator&apos;!$B$101-(IF(6=1,&apos;Property Calculator&apos;!$B$58,0))))+IF(6=&apos;Property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-6670.9386363359172</v></c><c r="AR79" s="106"><f>IF(7&gt;&apos;Property Calculator&apos;!$B$11,0,((&apos;Property Calculator&apos;!$B$82*(1+&apos;Property Calculator&apos;!$B$83)^6)-(&apos;Property Calculator&apos;!$B$93*(1+&apos;Property Calculator&apos;!$B$16)^6)-AJ79-&apos;Property Calculator&apos;!$B$100*((&apos;Property Calculator&apos;!$B$82*(1+&apos;Property Calculator&apos;!$B$83)^6)-(&apos;Property Calculator&apos;!$B$93*(1+&apos;Property Calculator&apos;!$B$16)^6)+(&apos;Property Calculator&apos;!$B$87*(1+&apos;Property Calculator&apos;!$B$16)^1)-(IF(AG79&lt;=0,0,IFERROR(-CUMIPMT(&apos;Property Calculator&apos;!$B$65/12,&apos;Property Calculator&apos;!$B$70*12,AG79,73,84,0),0)))-AI79-&apos;Property Calculator&apos;!$B$101-(IF(7=1,&apos;Property Calculator&apos;!$B$58,0))))+IF(7=&apos;Property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-6694.1444218170009</v></c><c r="AS79" s="106"><f>IF(8&gt;&apos;Property Calculator&apos;!$B$11,0,((&apos;Property Calculator&apos;!$B$82*(1+&apos;Property Calculator&apos;!$B$83)^7)-(&apos;Property Calculator&apos;!$B$93*(1+&apos;Property Calculator&apos;!$B$16)^7)-AJ79-&apos;Property Calculator&apos;!$B$100*((&apos;Property Calculator&apos;!$B$82*(1+&apos;Property Calculator&apos;!$B$83)^7)-(&apos;Property Calculator&apos;!$B$93*(1+&apos;Property Calculator&apos;!$B$16)^7)+(&apos;Property Calculator&apos;!$B$87*(1+&apos;Property Calculator&apos;!$B$16)^1)-(IF(AG79&lt;=0,0,IFERROR(-CUMIPMT(&apos;Property Calculator&apos;!$B$65/12,&apos;Property Calculator&apos;!$B$70*12,AG79,85,96,0),0)))-AI79-&apos;Property Calculator&apos;!$B$101-(IF(8=1,&apos;Property Calculator&apos;!$B$58,0))))+IF(8=&apos;Property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-6719.989704702597</v></c><c r="AT79" s="106"><f>IF(9&gt;&apos;Property Calculator&apos;!$B$11,0,((&apos;Property Calculator&apos;!$B$82*(1+&apos;Property Calculator&apos;!$B$83)^8)-(&apos;Property Calculator&apos;!$B$93*(1+&apos;Property Calculator&apos;!$B$16)^8)-AJ79-&apos;Property Calculator&apos;!$B$100*((&apos;Property Calculator&apos;!$B$82*(1+&apos;Property Calculator&apos;!$B$83)^8)-(&apos;Property Calculator&apos;!$B$93*(1+&apos;Property Calculator&apos;!$B$16)^8)+(&apos;Property Calculator&apos;!$B$87*(1+&apos;Property Calculator&apos;!$B$16)^1)-(IF(AG79&lt;=0,0,IFERROR(-CUMIPMT(&apos;Property Calculator&apos;!$B$65/12,&apos;Property Calculator&apos;!$B$70*12,AG79,97,108,0),0)))-AI79-&apos;Property Calculator&apos;!$B$101-(IF(9=1,&apos;Property Calculator&apos;!$B$58,0))))+IF(9=&apos;Property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-6748.6019943032125</v></c><c r="AU79" s="106"><f>IF(10&gt;&apos;Property Calculator&apos;!$B$11,0,((&apos;Property Calculator&apos;!$B$82*(1+&apos;Property Calculator&apos;!$B$83)^9)-(&apos;Property Calculator&apos;!$B$93*(1+&apos;Property Calculator&apos;!$B$16)^9)-AJ79-&apos;Property Calculator&apos;!$B$100*((&apos;Property Calculator&apos;!$B$82*(1+&apos;Property Calculator&apos;!$B$83)^9)-(&apos;Property Calculator&apos;!$B$93*(1+&apos;Property Calculator&apos;!$B$16)^9)+(&apos;Property Calculator&apos;!$B$87*(1+&apos;Property Calculator&apos;!$B$16)^1)-(IF(AG79&lt;=0,0,IFERROR(-CUMIPMT(&apos;Property Calculator&apos;!$B$65/12,&apos;Property Calculator&apos;!$B$70*12,AG79,109,120,0),0)))-AI79-&apos;Property Calculator&apos;!$B$101-(IF(10=1,&apos;Property Calculator&apos;!$B$58,0))))+IF(10=&apos;Property Calculator&apos;!$B$11,($AE79*(1+&apos;Property Calculator&apos;!$B$12)^&apos;Property Calculator&apos;!$B$11)-(($AE79*(1+&apos;Property Calculator&apos;!$B$12)^&apos;Property Calculator&apos;!$B$11)*&apos;Exit Analysis&apos;!$B$5)-(IF(&apos;Property Calculator&apos;!$B$11&lt;10,MAX(0,($AE79*(1+&apos;Property Calculator&apos;!$B$12)^&apos;Property Calculator&apos;!$B$11)-($AE79*(1+$AB$7))+&apos;Property Calculator&apos;!$B$11*AI79-(($AE79*(1+&apos;Property Calculator&apos;!$B$12)^&apos;Property Calculator&apos;!$B$11)*&apos;Exit Analysis&apos;!$B$5))*&apos;Property Calculator&apos;!$B$100,0))-(IF(OR(AG79&lt;=0,&apos;Property Calculator&apos;!$B$11&gt;=&apos;Property Calculator&apos;!$B$70),0,IFERROR(PV(&apos;Property Calculator&apos;!$B$65/12,&apos;Property Calculator&apos;!$B$70*12-&apos;Property Calculator&apos;!$B$11*12,-AJ79/12),0))),0))</f><v>187149.39936866675</v></c><c r="AV79" s="37"><f>IFERROR(XIRR(AK79:AU79,&apos;Return Details&apos;!$L$4:$L$14),&quot;—&quot;)</f><v>4.3072620034217843E-2</v></c><c r="AW79" s="106"><f>IF(AND(ISNUMBER(AV79),AV79&gt;=$B$37,AL79&gt;=$B$38,AH79&lt;=$B$39,AF79&gt;&apos;Property Calculator&apos;!$B$63),AE79,0)</f><v>0</v></c><c r="AX79" s="106"><f t="shared" si="4"/>&lt;v&gt;0&lt;/v&gt;&lt;/c&gt;&lt;/row&gt;&lt;row r=&quot;80&quot; spans=&quot;31:50&quot; x14ac:dyDescent=&quot;0.25&quot;&gt;&lt;c r=&quot;AE80&quot; s=&quot;106&quot;&gt;&lt;v&gt;400000&lt;/v&gt;&lt;/c&gt;&lt;c r=&quot;AF80&quot; s=&quot;106&quot;&gt;&lt;f t=&quot;shared&quot; si=&quot;2&quot;/&gt;&lt;v&gt;452980&lt;/v&gt;&lt;/c&gt;&lt;c r=&quot;AG80&quot; s=&quot;106&quot;&gt;&lt;f&gt;MAX(0,AF80-&apos;Property Calculator&apos;!$B$63)</f><v>372980</v></c><c r="AH80" s="37"><f t="shared" si="3"/>&lt;v&gt;0.93245&lt;/v&gt;&lt;/c&gt;&lt;c r=&quot;AI80&quot; s=&quot;106&quot;&gt;&lt;f&gt;($AE80*(1+$AB$7)*&apos;Property Calculator&apos;!$B$96+&apos;Property Calculator&apos;!$B$59)*&apos;Property Calculator&apos;!$B$98</f><v>6980.4800000000005</v></c><c r="AJ80" s="106"><f>IF(AG80&lt;=0,0,PMT(&apos;Property Calculator&apos;!$B$65/12,&apos;Property Calculator&apos;!$B$70*12,-AG80)*12)</f><v>20098.162519072241</v></c><c r="AK80" s="106"><f>-&apos;Property Calculator&apos;!$B$63</f><v>-80000</v></c><c r="AL80" s="106"><f>IF(1&gt;&apos;Property Calculator&apos;!$B$11,0,((&apos;Property Calculator&apos;!$B$82*(1+&apos;Property Calculator&apos;!$B$83)^0)-(&apos;Property Calculator&apos;!$B$93*(1+&apos;Property Calculator&apos;!$B$16)^0)-AJ80-&apos;Property Calculator&apos;!$B$100*((&apos;Property Calculator&apos;!$B$82*(1+&apos;Property Calculator&apos;!$B$83)^0)-(&apos;Property Calculator&apos;!$B$93*(1+&apos;Property Calculator&apos;!$B$16)^0)+(&apos;Property Calculator&apos;!$B$87*(1+&apos;Property Calculator&apos;!$B$16)^0)-(IF(AG80&lt;=0,0,IFERROR(-CUMIPMT(&apos;Property Calculator&apos;!$B$65/12,&apos;Property Calculator&apos;!$B$70*12,AG80,1,12,0),0)))-AI80-&apos;Property Calculator&apos;!$B$101-(IF(1=1,&apos;Property Calculator&apos;!$B$58,0))))+IF(1=&apos;Property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-637.4773823466312</v></c><c r="AM80" s="106"><f>IF(2&gt;&apos;Property Calculator&apos;!$B$11,0,((&apos;Property Calculator&apos;!$B$82*(1+&apos;Property Calculator&apos;!$B$83)^1)-(&apos;Property Calculator&apos;!$B$93*(1+&apos;Property Calculator&apos;!$B$16)^1)-AJ80-&apos;Property Calculator&apos;!$B$100*((&apos;Property Calculator&apos;!$B$82*(1+&apos;Property Calculator&apos;!$B$83)^1)-(&apos;Property Calculator&apos;!$B$93*(1+&apos;Property Calculator&apos;!$B$16)^1)+(&apos;Property Calculator&apos;!$B$87*(1+&apos;Property Calculator&apos;!$B$16)^1)-(IF(AG80&lt;=0,0,IFERROR(-CUMIPMT(&apos;Property Calculator&apos;!$B$65/12,&apos;Property Calculator&apos;!$B$70*12,AG80,13,24,0),0)))-AI80-&apos;Property Calculator&apos;!$B$101-(IF(2=1,&apos;Property Calculator&apos;!$B$58,0))))+IF(2=&apos;Property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-6960.7579035879317</v></c><c r="AN80" s="106"><f>IF(3&gt;&apos;Property Calculator&apos;!$B$11,0,((&apos;Property Calculator&apos;!$B$82*(1+&apos;Property Calculator&apos;!$B$83)^2)-(&apos;Property Calculator&apos;!$B$93*(1+&apos;Property Calculator&apos;!$B$16)^2)-AJ80-&apos;Property Calculator&apos;!$B$100*((&apos;Property Calculator&apos;!$B$82*(1+&apos;Property Calculator&apos;!$B$83)^2)-(&apos;Property Calculator&apos;!$B$93*(1+&apos;Property Calculator&apos;!$B$16)^2)+(&apos;Property Calculator&apos;!$B$87*(1+&apos;Property Calculator&apos;!$B$16)^1)-(IF(AG80&lt;=0,0,IFERROR(-CUMIPMT(&apos;Property Calculator&apos;!$B$65/12,&apos;Property Calculator&apos;!$B$70*12,AG80,25,36,0),0)))-AI80-&apos;Property Calculator&apos;!$B$101-(IF(3=1,&apos;Property Calculator&apos;!$B$58,0))))+IF(3=&apos;Property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-6977.822405378899</v></c><c r="AO80" s="106"><f>IF(4&gt;&apos;Property Calculator&apos;!$B$11,0,((&apos;Property Calculator&apos;!$B$82*(1+&apos;Property Calculator&apos;!$B$83)^3)-(&apos;Property Calculator&apos;!$B$93*(1+&apos;Property Calculator&apos;!$B$16)^3)-AJ80-&apos;Property Calculator&apos;!$B$100*((&apos;Property Calculator&apos;!$B$82*(1+&apos;Property Calculator&apos;!$B$83)^3)-(&apos;Property Calculator&apos;!$B$93*(1+&apos;Property Calculator&apos;!$B$16)^3)+(&apos;Property Calculator&apos;!$B$87*(1+&apos;Property Calculator&apos;!$B$16)^1)-(IF(AG80&lt;=0,0,IFERROR(-CUMIPMT(&apos;Property Calculator&apos;!$B$65/12,&apos;Property Calculator&apos;!$B$70*12,AG80,37,48,0),0)))-AI80-&apos;Property Calculator&apos;!$B$101-(IF(4=1,&apos;Property Calculator&apos;!$B$58,0))))+IF(4=&apos;Property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-6997.1793154894804</v></c><c r="AP80" s="106"><f>IF(5&gt;&apos;Property Calculator&apos;!$B$11,0,((&apos;Property Calculator&apos;!$B$82*(1+&apos;Property Calculator&apos;!$B$83)^4)-(&apos;Property Calculator&apos;!$B$93*(1+&apos;Property Calculator&apos;!$B$16)^4)-AJ80-&apos;Property Calculator&apos;!$B$100*((&apos;Property Calculator&apos;!$B$82*(1+&apos;Property Calculator&apos;!$B$83)^4)-(&apos;Property Calculator&apos;!$B$93*(1+&apos;Property Calculator&apos;!$B$16)^4)+(&apos;Property Calculator&apos;!$B$87*(1+&apos;Property Calculator&apos;!$B$16)^1)-(IF(AG80&lt;=0,0,IFERROR(-CUMIPMT(&apos;Property Calculator&apos;!$B$65/12,&apos;Property Calculator&apos;!$B$70*12,AG80,49,60,0),0)))-AI80-&apos;Property Calculator&apos;!$B$101-(IF(5=1,&apos;Property Calculator&apos;!$B$58,0))))+IF(5=&apos;Property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-7018.9414745327913</v></c><c r="AQ80" s="106"><f>IF(6&gt;&apos;Property Calculator&apos;!$B$11,0,((&apos;Property Calculator&apos;!$B$82*(1+&apos;Property Calculator&apos;!$B$83)^5)-(&apos;Property Calculator&apos;!$B$93*(1+&apos;Property Calculator&apos;!$B$16)^5)-AJ80-&apos;Property Calculator&apos;!$B$100*((&apos;Property Calculator&apos;!$B$82*(1+&apos;Property Calculator&apos;!$B$83)^5)-(&apos;Property Calculator&apos;!$B$93*(1+&apos;Property Calculator&apos;!$B$16)^5)+(&apos;Property Calculator&apos;!$B$87*(1+&apos;Property Calculator&apos;!$B$16)^1)-(IF(AG80&lt;=0,0,IFERROR(-CUMIPMT(&apos;Property Calculator&apos;!$B$65/12,&apos;Property Calculator&apos;!$B$70*12,AG80,61,72,0),0)))-AI80-&apos;Property Calculator&apos;!$B$101-(IF(6=1,&apos;Property Calculator&apos;!$B$58,0))))+IF(6=&apos;Property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-7043.2263025792645</v></c><c r="AR80" s="106"><f>IF(7&gt;&apos;Property Calculator&apos;!$B$11,0,((&apos;Property Calculator&apos;!$B$82*(1+&apos;Property Calculator&apos;!$B$83)^6)-(&apos;Property Calculator&apos;!$B$93*(1+&apos;Property Calculator&apos;!$B$16)^6)-AJ80-&apos;Property Calculator&apos;!$B$100*((&apos;Property Calculator&apos;!$B$82*(1+&apos;Property Calculator&apos;!$B$83)^6)-(&apos;Property Calculator&apos;!$B$93*(1+&apos;Property Calculator&apos;!$B$16)^6)+(&apos;Property Calculator&apos;!$B$87*(1+&apos;Property Calculator&apos;!$B$16)^1)-(IF(AG80&lt;=0,0,IFERROR(-CUMIPMT(&apos;Property Calculator&apos;!$B$65/12,&apos;Property Calculator&apos;!$B$70*12,AG80,73,84,0),0)))-AI80-&apos;Property Calculator&apos;!$B$101-(IF(7=1,&apos;Property Calculator&apos;!$B$58,0))))+IF(7=&apos;Property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-7070.1559718534118</v></c><c r="AS80" s="106"><f>IF(8&gt;&apos;Property Calculator&apos;!$B$11,0,((&apos;Property Calculator&apos;!$B$82*(1+&apos;Property Calculator&apos;!$B$83)^7)-(&apos;Property Calculator&apos;!$B$93*(1+&apos;Property Calculator&apos;!$B$16)^7)-AJ80-&apos;Property Calculator&apos;!$B$100*((&apos;Property Calculator&apos;!$B$82*(1+&apos;Property Calculator&apos;!$B$83)^7)-(&apos;Property Calculator&apos;!$B$93*(1+&apos;Property Calculator&apos;!$B$16)^7)+(&apos;Property Calculator&apos;!$B$87*(1+&apos;Property Calculator&apos;!$B$16)^1)-(IF(AG80&lt;=0,0,IFERROR(-CUMIPMT(&apos;Property Calculator&apos;!$B$65/12,&apos;Property Calculator&apos;!$B$70*12,AG80,85,96,0),0)))-AI80-&apos;Property Calculator&apos;!$B$101-(IF(8=1,&apos;Property Calculator&apos;!$B$58,0))))+IF(8=&apos;Property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-7099.8575857317164</v></c><c r="AT80" s="106"><f>IF(9&gt;&apos;Property Calculator&apos;!$B$11,0,((&apos;Property Calculator&apos;!$B$82*(1+&apos;Property Calculator&apos;!$B$83)^8)-(&apos;Property Calculator&apos;!$B$93*(1+&apos;Property Calculator&apos;!$B$16)^8)-AJ80-&apos;Property Calculator&apos;!$B$100*((&apos;Property Calculator&apos;!$B$82*(1+&apos;Property Calculator&apos;!$B$83)^8)-(&apos;Property Calculator&apos;!$B$93*(1+&apos;Property Calculator&apos;!$B$16)^8)+(&apos;Property Calculator&apos;!$B$87*(1+&apos;Property Calculator&apos;!$B$16)^1)-(IF(AG80&lt;=0,0,IFERROR(-CUMIPMT(&apos;Property Calculator&apos;!$B$65/12,&apos;Property Calculator&apos;!$B$70*12,AG80,97,108,0),0)))-AI80-&apos;Property Calculator&apos;!$B$101-(IF(9=1,&apos;Property Calculator&apos;!$B$58,0))))+IF(9=&apos;Property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-7132.463364268001</v></c><c r="AU80" s="106"><f>IF(10&gt;&apos;Property Calculator&apos;!$B$11,0,((&apos;Property Calculator&apos;!$B$82*(1+&apos;Property Calculator&apos;!$B$83)^9)-(&apos;Property Calculator&apos;!$B$93*(1+&apos;Property Calculator&apos;!$B$16)^9)-AJ80-&apos;Property Calculator&apos;!$B$100*((&apos;Property Calculator&apos;!$B$82*(1+&apos;Property Calculator&apos;!$B$83)^9)-(&apos;Property Calculator&apos;!$B$93*(1+&apos;Property Calculator&apos;!$B$16)^9)+(&apos;Property Calculator&apos;!$B$87*(1+&apos;Property Calculator&apos;!$B$16)^1)-(IF(AG80&lt;=0,0,IFERROR(-CUMIPMT(&apos;Property Calculator&apos;!$B$65/12,&apos;Property Calculator&apos;!$B$70*12,AG80,109,120,0),0)))-AI80-&apos;Property Calculator&apos;!$B$101-(IF(10=1,&apos;Property Calculator&apos;!$B$58,0))))+IF(10=&apos;Property Calculator&apos;!$B$11,($AE80*(1+&apos;Property Calculator&apos;!$B$12)^&apos;Property Calculator&apos;!$B$11)-(($AE80*(1+&apos;Property Calculator&apos;!$B$12)^&apos;Property Calculator&apos;!$B$11)*&apos;Exit Analysis&apos;!$B$5)-(IF(&apos;Property Calculator&apos;!$B$11&lt;10,MAX(0,($AE80*(1+&apos;Property Calculator&apos;!$B$12)^&apos;Property Calculator&apos;!$B$11)-($AE80*(1+$AB$7))+&apos;Property Calculator&apos;!$B$11*AI80-(($AE80*(1+&apos;Property Calculator&apos;!$B$12)^&apos;Property Calculator&apos;!$B$11)*&apos;Exit Analysis&apos;!$B$5))*&apos;Property Calculator&apos;!$B$100,0))-(IF(OR(AG80&lt;=0,&apos;Property Calculator&apos;!$B$11&gt;=&apos;Property Calculator&apos;!$B$70),0,IFERROR(PV(&apos;Property Calculator&apos;!$B$65/12,&apos;Property Calculator&apos;!$B$70*12-&apos;Property Calculator&apos;!$B$11*12,-AJ80/12),0))),0))</f><v>190477.256351121</v></c><c r="AV80" s="37"><f>IFERROR(XIRR(AK80:AU80,&apos;Return Details&apos;!$L$4:$L$14),&quot;—&quot;)</f><v>4.2541667819023132E-2</v></c><c r="AW80" s="106"><f>IF(AND(ISNUMBER(AV80),AV80&gt;=$B$37,AL80&gt;=$B$38,AH80&lt;=$B$39,AF80&gt;&apos;Property Calculator&apos;!$B$63),AE80,0)</f><v>0</v></c><c r="AX80" s="106"><f t="shared" si="4"/>&lt;v&gt;0&lt;/v&gt;&lt;/c&gt;&lt;/row&gt;&lt;row r=&quot;81&quot; spans=&quot;31:50&quot; x14ac:dyDescent=&quot;0.25&quot;&gt;&lt;c r=&quot;AE81&quot; s=&quot;106&quot;&gt;&lt;v&gt;410000&lt;/v&gt;&lt;/c&gt;&lt;c r=&quot;AF81&quot; s=&quot;106&quot;&gt;&lt;f t=&quot;shared&quot; si=&quot;2&quot;/&gt;&lt;v&gt;463887&lt;/v&gt;&lt;/c&gt;&lt;c r=&quot;AG81&quot; s=&quot;106&quot;&gt;&lt;f&gt;MAX(0,AF81-&apos;Property Calculator&apos;!$B$63)</f><v>383887</v></c><c r="AH81" s="37"><f t="shared" si="3"/>&lt;v&gt;0.93630975609756095&lt;/v&gt;&lt;/c&gt;&lt;c r=&quot;AI81&quot; s=&quot;106&quot;&gt;&lt;f&gt;($AE81*(1+$AB$7)*&apos;Property Calculator&apos;!$B$96+&apos;Property Calculator&apos;!$B$59)*&apos;Property Calculator&apos;!$B$98</f><v>7154.9920000000011</v></c><c r="AJ81" s="106"><f>IF(AG81&lt;=0,0,PMT(&apos;Property Calculator&apos;!$B$65/12,&apos;Property Calculator&apos;!$B$70*12,-AG81)*12)</f><v>20685.890168263944</v></c><c r="AK81" s="106"><f>-&apos;Property Calculator&apos;!$B$63</f><v>-80000</v></c><c r="AL81" s="106"><f>IF(1&gt;&apos;Property Calculator&apos;!$B$11,0,((&apos;Property Calculator&apos;!$B$82*(1+&apos;Property Calculator&apos;!$B$83)^0)-(&apos;Property Calculator&apos;!$B$93*(1+&apos;Property Calculator&apos;!$B$16)^0)-AJ81-&apos;Property Calculator&apos;!$B$100*((&apos;Property Calculator&apos;!$B$82*(1+&apos;Property Calculator&apos;!$B$83)^0)-(&apos;Property Calculator&apos;!$B$93*(1+&apos;Property Calculator&apos;!$B$16)^0)+(&apos;Property Calculator&apos;!$B$87*(1+&apos;Property Calculator&apos;!$B$16)^0)-(IF(AG81&lt;=0,0,IFERROR(-CUMIPMT(&apos;Property Calculator&apos;!$B$65/12,&apos;Property Calculator&apos;!$B$70*12,AG81,1,12,0),0)))-AI81-&apos;Property Calculator&apos;!$B$101-(IF(1=1,&apos;Property Calculator&apos;!$B$58,0))))+IF(1=&apos;Property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-992.978481175669</v></c><c r="AM81" s="106"><f>IF(2&gt;&apos;Property Calculator&apos;!$B$11,0,((&apos;Property Calculator&apos;!$B$82*(1+&apos;Property Calculator&apos;!$B$83)^1)-(&apos;Property Calculator&apos;!$B$93*(1+&apos;Property Calculator&apos;!$B$16)^1)-AJ81-&apos;Property Calculator&apos;!$B$100*((&apos;Property Calculator&apos;!$B$82*(1+&apos;Property Calculator&apos;!$B$83)^1)-(&apos;Property Calculator&apos;!$B$93*(1+&apos;Property Calculator&apos;!$B$16)^1)+(&apos;Property Calculator&apos;!$B$87*(1+&apos;Property Calculator&apos;!$B$16)^1)-(IF(AG81&lt;=0,0,IFERROR(-CUMIPMT(&apos;Property Calculator&apos;!$B$65/12,&apos;Property Calculator&apos;!$B$70*12,AG81,13,24,0),0)))-AI81-&apos;Property Calculator&apos;!$B$101-(IF(2=1,&apos;Property Calculator&apos;!$B$58,0))))+IF(2=&apos;Property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-7319.3858391566837</v></c><c r="AN81" s="106"><f>IF(3&gt;&apos;Property Calculator&apos;!$B$11,0,((&apos;Property Calculator&apos;!$B$82*(1+&apos;Property Calculator&apos;!$B$83)^2)-(&apos;Property Calculator&apos;!$B$93*(1+&apos;Property Calculator&apos;!$B$16)^2)-AJ81-&apos;Property Calculator&apos;!$B$100*((&apos;Property Calculator&apos;!$B$82*(1+&apos;Property Calculator&apos;!$B$83)^2)-(&apos;Property Calculator&apos;!$B$93*(1+&apos;Property Calculator&apos;!$B$16)^2)+(&apos;Property Calculator&apos;!$B$87*(1+&apos;Property Calculator&apos;!$B$16)^1)-(IF(AG81&lt;=0,0,IFERROR(-CUMIPMT(&apos;Property Calculator&apos;!$B$65/12,&apos;Property Calculator&apos;!$B$70*12,AG81,25,36,0),0)))-AI81-&apos;Property Calculator&apos;!$B$101-(IF(3=1,&apos;Property Calculator&apos;!$B$58,0))))+IF(3=&apos;Property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-7339.6883897425596</v></c><c r="AO81" s="106"><f>IF(4&gt;&apos;Property Calculator&apos;!$B$11,0,((&apos;Property Calculator&apos;!$B$82*(1+&apos;Property Calculator&apos;!$B$83)^3)-(&apos;Property Calculator&apos;!$B$93*(1+&apos;Property Calculator&apos;!$B$16)^3)-AJ81-&apos;Property Calculator&apos;!$B$100*((&apos;Property Calculator&apos;!$B$82*(1+&apos;Property Calculator&apos;!$B$83)^3)-(&apos;Property Calculator&apos;!$B$93*(1+&apos;Property Calculator&apos;!$B$16)^3)+(&apos;Property Calculator&apos;!$B$87*(1+&apos;Property Calculator&apos;!$B$16)^1)-(IF(AG81&lt;=0,0,IFERROR(-CUMIPMT(&apos;Property Calculator&apos;!$B$65/12,&apos;Property Calculator&apos;!$B$70*12,AG81,37,48,0),0)))-AI81-&apos;Property Calculator&apos;!$B$101-(IF(4=1,&apos;Property Calculator&apos;!$B$58,0))))+IF(4=&apos;Property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-7362.3985161771725</v></c><c r="AP81" s="106"><f>IF(5&gt;&apos;Property Calculator&apos;!$B$11,0,((&apos;Property Calculator&apos;!$B$82*(1+&apos;Property Calculator&apos;!$B$83)^4)-(&apos;Property Calculator&apos;!$B$93*(1+&apos;Property Calculator&apos;!$B$16)^4)-AJ81-&apos;Property Calculator&apos;!$B$100*((&apos;Property Calculator&apos;!$B$82*(1+&apos;Property Calculator&apos;!$B$83)^4)-(&apos;Property Calculator&apos;!$B$93*(1+&apos;Property Calculator&apos;!$B$16)^4)+(&apos;Property Calculator&apos;!$B$87*(1+&apos;Property Calculator&apos;!$B$16)^1)-(IF(AG81&lt;=0,0,IFERROR(-CUMIPMT(&apos;Property Calculator&apos;!$B$65/12,&apos;Property Calculator&apos;!$B$70*12,AG81,49,60,0),0)))-AI81-&apos;Property Calculator&apos;!$B$101-(IF(5=1,&apos;Property Calculator&apos;!$B$58,0))))+IF(5=&apos;Property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-7387.6331552317279</v></c><c r="AQ81" s="106"><f>IF(6&gt;&apos;Property Calculator&apos;!$B$11,0,((&apos;Property Calculator&apos;!$B$82*(1+&apos;Property Calculator&apos;!$B$83)^5)-(&apos;Property Calculator&apos;!$B$93*(1+&apos;Property Calculator&apos;!$B$16)^5)-AJ81-&apos;Property Calculator&apos;!$B$100*((&apos;Property Calculator&apos;!$B$82*(1+&apos;Property Calculator&apos;!$B$83)^5)-(&apos;Property Calculator&apos;!$B$93*(1+&apos;Property Calculator&apos;!$B$16)^5)+(&apos;Property Calculator&apos;!$B$87*(1+&apos;Property Calculator&apos;!$B$16)^1)-(IF(AG81&lt;=0,0,IFERROR(-CUMIPMT(&apos;Property Calculator&apos;!$B$65/12,&apos;Property Calculator&apos;!$B$70*12,AG81,61,72,0),0)))-AI81-&apos;Property Calculator&apos;!$B$101-(IF(6=1,&apos;Property Calculator&apos;!$B$58,0))))+IF(6=&apos;Property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-7415.5139688226118</v></c><c r="AR81" s="106"><f>IF(7&gt;&apos;Property Calculator&apos;!$B$11,0,((&apos;Property Calculator&apos;!$B$82*(1+&apos;Property Calculator&apos;!$B$83)^6)-(&apos;Property Calculator&apos;!$B$93*(1+&apos;Property Calculator&apos;!$B$16)^6)-AJ81-&apos;Property Calculator&apos;!$B$100*((&apos;Property Calculator&apos;!$B$82*(1+&apos;Property Calculator&apos;!$B$83)^6)-(&apos;Property Calculator&apos;!$B$93*(1+&apos;Property Calculator&apos;!$B$16)^6)+(&apos;Property Calculator&apos;!$B$87*(1+&apos;Property Calculator&apos;!$B$16)^1)-(IF(AG81&lt;=0,0,IFERROR(-CUMIPMT(&apos;Property Calculator&apos;!$B$65/12,&apos;Property Calculator&apos;!$B$70*12,AG81,73,84,0),0)))-AI81-&apos;Property Calculator&apos;!$B$101-(IF(7=1,&apos;Property Calculator&apos;!$B$58,0))))+IF(7=&apos;Property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-7446.1675218898245</v></c><c r="AS81" s="106"><f>IF(8&gt;&apos;Property Calculator&apos;!$B$11,0,((&apos;Property Calculator&apos;!$B$82*(1+&apos;Property Calculator&apos;!$B$83)^7)-(&apos;Property Calculator&apos;!$B$93*(1+&apos;Property Calculator&apos;!$B$16)^7)-AJ81-&apos;Property Calculator&apos;!$B$100*((&apos;Property Calculator&apos;!$B$82*(1+&apos;Property Calculator&apos;!$B$83)^7)-(&apos;Property Calculator&apos;!$B$93*(1+&apos;Property Calculator&apos;!$B$16)^7)+(&apos;Property Calculator&apos;!$B$87*(1+&apos;Property Calculator&apos;!$B$16)^1)-(IF(AG81&lt;=0,0,IFERROR(-CUMIPMT(&apos;Property Calculator&apos;!$B$65/12,&apos;Property Calculator&apos;!$B$70*12,AG81,85,96,0),0)))-AI81-&apos;Property Calculator&apos;!$B$101-(IF(8=1,&apos;Property Calculator&apos;!$B$58,0))))+IF(8=&apos;Property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-7479.7254667608377</v></c><c r="AT81" s="106"><f>IF(9&gt;&apos;Property Calculator&apos;!$B$11,0,((&apos;Property Calculator&apos;!$B$82*(1+&apos;Property Calculator&apos;!$B$83)^8)-(&apos;Property Calculator&apos;!$B$93*(1+&apos;Property Calculator&apos;!$B$16)^8)-AJ81-&apos;Property Calculator&apos;!$B$100*((&apos;Property Calculator&apos;!$B$82*(1+&apos;Property Calculator&apos;!$B$83)^8)-(&apos;Property Calculator&apos;!$B$93*(1+&apos;Property Calculator&apos;!$B$16)^8)+(&apos;Property Calculator&apos;!$B$87*(1+&apos;Property Calculator&apos;!$B$16)^1)-(IF(AG81&lt;=0,0,IFERROR(-CUMIPMT(&apos;Property Calculator&apos;!$B$65/12,&apos;Property Calculator&apos;!$B$70*12,AG81,97,108,0),0)))-AI81-&apos;Property Calculator&apos;!$B$101-(IF(9=1,&apos;Property Calculator&apos;!$B$58,0))))+IF(9=&apos;Property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-7516.3247342327923</v></c><c r="AU81" s="106"><f>IF(10&gt;&apos;Property Calculator&apos;!$B$11,0,((&apos;Property Calculator&apos;!$B$82*(1+&apos;Property Calculator&apos;!$B$83)^9)-(&apos;Property Calculator&apos;!$B$93*(1+&apos;Property Calculator&apos;!$B$16)^9)-AJ81-&apos;Property Calculator&apos;!$B$100*((&apos;Property Calculator&apos;!$B$82*(1+&apos;Property Calculator&apos;!$B$83)^9)-(&apos;Property Calculator&apos;!$B$93*(1+&apos;Property Calculator&apos;!$B$16)^9)+(&apos;Property Calculator&apos;!$B$87*(1+&apos;Property Calculator&apos;!$B$16)^1)-(IF(AG81&lt;=0,0,IFERROR(-CUMIPMT(&apos;Property Calculator&apos;!$B$65/12,&apos;Property Calculator&apos;!$B$70*12,AG81,109,120,0),0)))-AI81-&apos;Property Calculator&apos;!$B$101-(IF(10=1,&apos;Property Calculator&apos;!$B$58,0))))+IF(10=&apos;Property Calculator&apos;!$B$11,($AE81*(1+&apos;Property Calculator&apos;!$B$12)^&apos;Property Calculator&apos;!$B$11)-(($AE81*(1+&apos;Property Calculator&apos;!$B$12)^&apos;Property Calculator&apos;!$B$11)*&apos;Exit Analysis&apos;!$B$5)-(IF(&apos;Property Calculator&apos;!$B$11&lt;10,MAX(0,($AE81*(1+&apos;Property Calculator&apos;!$B$12)^&apos;Property Calculator&apos;!$B$11)-($AE81*(1+$AB$7))+&apos;Property Calculator&apos;!$B$11*AI81-(($AE81*(1+&apos;Property Calculator&apos;!$B$12)^&apos;Property Calculator&apos;!$B$11)*&apos;Exit Analysis&apos;!$B$5))*&apos;Property Calculator&apos;!$B$100,0))-(IF(OR(AG81&lt;=0,&apos;Property Calculator&apos;!$B$11&gt;=&apos;Property Calculator&apos;!$B$70),0,IFERROR(PV(&apos;Property Calculator&apos;!$B$65/12,&apos;Property Calculator&apos;!$B$70*12-&apos;Property Calculator&apos;!$B$11*12,-AJ81/12),0))),0))</f><v>193805.11333357537</v></c><c r="AV81" s="37"><f>IFERROR(XIRR(AK81:AU81,&apos;Return Details&apos;!$L$4:$L$14),&quot;—&quot;)</f><v>4.2023125290870669E-2</v></c><c r="AW81" s="106"><f>IF(AND(ISNUMBER(AV81),AV81&gt;=$B$37,AL81&gt;=$B$38,AH81&lt;=$B$39,AF81&gt;&apos;Property Calculator&apos;!$B$63),AE81,0)</f><v>0</v></c><c r="AX81" s="106"><f t="shared" si="4"/>&lt;v&gt;0&lt;/v&gt;&lt;/c&gt;&lt;/row&gt;&lt;row r=&quot;82&quot; spans=&quot;31:50&quot; x14ac:dyDescent=&quot;0.25&quot;&gt;&lt;c r=&quot;AE82&quot; s=&quot;106&quot;&gt;&lt;v&gt;420000&lt;/v&gt;&lt;/c&gt;&lt;c r=&quot;AF82&quot; s=&quot;106&quot;&gt;&lt;f t=&quot;shared&quot; si=&quot;2&quot;/&gt;&lt;v&gt;474794&lt;/v&gt;&lt;/c&gt;&lt;c r=&quot;AG82&quot; s=&quot;106&quot;&gt;&lt;f&gt;MAX(0,AF82-&apos;Property Calculator&apos;!$B$63)</f><v>394794</v></c><c r="AH82" s="37"><f t="shared" si="3"/>&lt;v&gt;0.93998571428571431&lt;/v&gt;&lt;/c&gt;&lt;c r=&quot;AI82&quot; s=&quot;106&quot;&gt;&lt;f&gt;($AE82*(1+$AB$7)*&apos;Property Calculator&apos;!$B$96+&apos;Property Calculator&apos;!$B$59)*&apos;Property Calculator&apos;!$B$98</f><v>7329.5040000000008</v></c><c r="AJ82" s="106"><f>IF(AG82&lt;=0,0,PMT(&apos;Property Calculator&apos;!$B$65/12,&apos;Property Calculator&apos;!$B$70*12,-AG82)*12)</f><v>21273.617817455644</v></c><c r="AK82" s="106"><f>-&apos;Property Calculator&apos;!$B$63</f><v>-80000</v></c><c r="AL82" s="106"><f>IF(1&gt;&apos;Property Calculator&apos;!$B$11,0,((&apos;Property Calculator&apos;!$B$82*(1+&apos;Property Calculator&apos;!$B$83)^0)-(&apos;Property Calculator&apos;!$B$93*(1+&apos;Property Calculator&apos;!$B$16)^0)-AJ82-&apos;Property Calculator&apos;!$B$100*((&apos;Property Calculator&apos;!$B$82*(1+&apos;Property Calculator&apos;!$B$83)^0)-(&apos;Property Calculator&apos;!$B$93*(1+&apos;Property Calculator&apos;!$B$16)^0)+(&apos;Property Calculator&apos;!$B$87*(1+&apos;Property Calculator&apos;!$B$16)^0)-(IF(AG82&lt;=0,0,IFERROR(-CUMIPMT(&apos;Property Calculator&apos;!$B$65/12,&apos;Property Calculator&apos;!$B$70*12,AG82,1,12,0),0)))-AI82-&apos;Property Calculator&apos;!$B$101-(IF(1=1,&apos;Property Calculator&apos;!$B$58,0))))+IF(1=&apos;Property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-1348.4795800047068</v></c><c r="AM82" s="106"><f>IF(2&gt;&apos;Property Calculator&apos;!$B$11,0,((&apos;Property Calculator&apos;!$B$82*(1+&apos;Property Calculator&apos;!$B$83)^1)-(&apos;Property Calculator&apos;!$B$93*(1+&apos;Property Calculator&apos;!$B$16)^1)-AJ82-&apos;Property Calculator&apos;!$B$100*((&apos;Property Calculator&apos;!$B$82*(1+&apos;Property Calculator&apos;!$B$83)^1)-(&apos;Property Calculator&apos;!$B$93*(1+&apos;Property Calculator&apos;!$B$16)^1)+(&apos;Property Calculator&apos;!$B$87*(1+&apos;Property Calculator&apos;!$B$16)^1)-(IF(AG82&lt;=0,0,IFERROR(-CUMIPMT(&apos;Property Calculator&apos;!$B$65/12,&apos;Property Calculator&apos;!$B$70*12,AG82,13,24,0),0)))-AI82-&apos;Property Calculator&apos;!$B$101-(IF(2=1,&apos;Property Calculator&apos;!$B$58,0))))+IF(2=&apos;Property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-7678.0137747254366</v></c><c r="AN82" s="106"><f>IF(3&gt;&apos;Property Calculator&apos;!$B$11,0,((&apos;Property Calculator&apos;!$B$82*(1+&apos;Property Calculator&apos;!$B$83)^2)-(&apos;Property Calculator&apos;!$B$93*(1+&apos;Property Calculator&apos;!$B$16)^2)-AJ82-&apos;Property Calculator&apos;!$B$100*((&apos;Property Calculator&apos;!$B$82*(1+&apos;Property Calculator&apos;!$B$83)^2)-(&apos;Property Calculator&apos;!$B$93*(1+&apos;Property Calculator&apos;!$B$16)^2)+(&apos;Property Calculator&apos;!$B$87*(1+&apos;Property Calculator&apos;!$B$16)^1)-(IF(AG82&lt;=0,0,IFERROR(-CUMIPMT(&apos;Property Calculator&apos;!$B$65/12,&apos;Property Calculator&apos;!$B$70*12,AG82,25,36,0),0)))-AI82-&apos;Property Calculator&apos;!$B$101-(IF(3=1,&apos;Property Calculator&apos;!$B$58,0))))+IF(3=&apos;Property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-7701.5543741062165</v></c><c r="AO82" s="106"><f>IF(4&gt;&apos;Property Calculator&apos;!$B$11,0,((&apos;Property Calculator&apos;!$B$82*(1+&apos;Property Calculator&apos;!$B$83)^3)-(&apos;Property Calculator&apos;!$B$93*(1+&apos;Property Calculator&apos;!$B$16)^3)-AJ82-&apos;Property Calculator&apos;!$B$100*((&apos;Property Calculator&apos;!$B$82*(1+&apos;Property Calculator&apos;!$B$83)^3)-(&apos;Property Calculator&apos;!$B$93*(1+&apos;Property Calculator&apos;!$B$16)^3)+(&apos;Property Calculator&apos;!$B$87*(1+&apos;Property Calculator&apos;!$B$16)^1)-(IF(AG82&lt;=0,0,IFERROR(-CUMIPMT(&apos;Property Calculator&apos;!$B$65/12,&apos;Property Calculator&apos;!$B$70*12,AG82,37,48,0),0)))-AI82-&apos;Property Calculator&apos;!$B$101-(IF(4=1,&apos;Property Calculator&apos;!$B$58,0))))+IF(4=&apos;Property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-7727.6177168648628</v></c><c r="AP82" s="106"><f>IF(5&gt;&apos;Property Calculator&apos;!$B$11,0,((&apos;Property Calculator&apos;!$B$82*(1+&apos;Property Calculator&apos;!$B$83)^4)-(&apos;Property Calculator&apos;!$B$93*(1+&apos;Property Calculator&apos;!$B$16)^4)-AJ82-&apos;Property Calculator&apos;!$B$100*((&apos;Property Calculator&apos;!$B$82*(1+&apos;Property Calculator&apos;!$B$83)^4)-(&apos;Property Calculator&apos;!$B$93*(1+&apos;Property Calculator&apos;!$B$16)^4)+(&apos;Property Calculator&apos;!$B$87*(1+&apos;Property Calculator&apos;!$B$16)^1)-(IF(AG82&lt;=0,0,IFERROR(-CUMIPMT(&apos;Property Calculator&apos;!$B$65/12,&apos;Property Calculator&apos;!$B$70*12,AG82,49,60,0),0)))-AI82-&apos;Property Calculator&apos;!$B$101-(IF(5=1,&apos;Property Calculator&apos;!$B$58,0))))+IF(5=&apos;Property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-7756.3248359306644</v></c><c r="AQ82" s="106"><f>IF(6&gt;&apos;Property Calculator&apos;!$B$11,0,((&apos;Property Calculator&apos;!$B$82*(1+&apos;Property Calculator&apos;!$B$83)^5)-(&apos;Property Calculator&apos;!$B$93*(1+&apos;Property Calculator&apos;!$B$16)^5)-AJ82-&apos;Property Calculator&apos;!$B$100*((&apos;Property Calculator&apos;!$B$82*(1+&apos;Property Calculator&apos;!$B$83)^5)-(&apos;Property Calculator&apos;!$B$93*(1+&apos;Property Calculator&apos;!$B$16)^5)+(&apos;Property Calculator&apos;!$B$87*(1+&apos;Property Calculator&apos;!$B$16)^1)-(IF(AG82&lt;=0,0,IFERROR(-CUMIPMT(&apos;Property Calculator&apos;!$B$65/12,&apos;Property Calculator&apos;!$B$70*12,AG82,61,72,0),0)))-AI82-&apos;Property Calculator&apos;!$B$101-(IF(6=1,&apos;Property Calculator&apos;!$B$58,0))))+IF(6=&apos;Property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-7787.80163506596</v></c><c r="AR82" s="106"><f>IF(7&gt;&apos;Property Calculator&apos;!$B$11,0,((&apos;Property Calculator&apos;!$B$82*(1+&apos;Property Calculator&apos;!$B$83)^6)-(&apos;Property Calculator&apos;!$B$93*(1+&apos;Property Calculator&apos;!$B$16)^6)-AJ82-&apos;Property Calculator&apos;!$B$100*((&apos;Property Calculator&apos;!$B$82*(1+&apos;Property Calculator&apos;!$B$83)^6)-(&apos;Property Calculator&apos;!$B$93*(1+&apos;Property Calculator&apos;!$B$16)^6)+(&apos;Property Calculator&apos;!$B$87*(1+&apos;Property Calculator&apos;!$B$16)^1)-(IF(AG82&lt;=0,0,IFERROR(-CUMIPMT(&apos;Property Calculator&apos;!$B$65/12,&apos;Property Calculator&apos;!$B$70*12,AG82,73,84,0),0)))-AI82-&apos;Property Calculator&apos;!$B$101-(IF(7=1,&apos;Property Calculator&apos;!$B$58,0))))+IF(7=&apos;Property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-7822.1790719262353</v></c><c r="AS82" s="106"><f>IF(8&gt;&apos;Property Calculator&apos;!$B$11,0,((&apos;Property Calculator&apos;!$B$82*(1+&apos;Property Calculator&apos;!$B$83)^7)-(&apos;Property Calculator&apos;!$B$93*(1+&apos;Property Calculator&apos;!$B$16)^7)-AJ82-&apos;Property Calculator&apos;!$B$100*((&apos;Property Calculator&apos;!$B$82*(1+&apos;Property Calculator&apos;!$B$83)^7)-(&apos;Property Calculator&apos;!$B$93*(1+&apos;Property Calculator&apos;!$B$16)^7)+(&apos;Property Calculator&apos;!$B$87*(1+&apos;Property Calculator&apos;!$B$16)^1)-(IF(AG82&lt;=0,0,IFERROR(-CUMIPMT(&apos;Property Calculator&apos;!$B$65/12,&apos;Property Calculator&apos;!$B$70*12,AG82,85,96,0),0)))-AI82-&apos;Property Calculator&apos;!$B$101-(IF(8=1,&apos;Property Calculator&apos;!$B$58,0))))+IF(8=&apos;Property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-7859.5933477899562</v></c><c r="AT82" s="106"><f>IF(9&gt;&apos;Property Calculator&apos;!$B$11,0,((&apos;Property Calculator&apos;!$B$82*(1+&apos;Property Calculator&apos;!$B$83)^8)-(&apos;Property Calculator&apos;!$B$93*(1+&apos;Property Calculator&apos;!$B$16)^8)-AJ82-&apos;Property Calculator&apos;!$B$100*((&apos;Property Calculator&apos;!$B$82*(1+&apos;Property Calculator&apos;!$B$83)^8)-(&apos;Property Calculator&apos;!$B$93*(1+&apos;Property Calculator&apos;!$B$16)^8)+(&apos;Property Calculator&apos;!$B$87*(1+&apos;Property Calculator&apos;!$B$16)^1)-(IF(AG82&lt;=0,0,IFERROR(-CUMIPMT(&apos;Property Calculator&apos;!$B$65/12,&apos;Property Calculator&apos;!$B$70*12,AG82,97,108,0),0)))-AI82-&apos;Property Calculator&apos;!$B$101-(IF(9=1,&apos;Property Calculator&apos;!$B$58,0))))+IF(9=&apos;Property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-7900.1861041975808</v></c><c r="AU82" s="106"><f>IF(10&gt;&apos;Property Calculator&apos;!$B$11,0,((&apos;Property Calculator&apos;!$B$82*(1+&apos;Property Calculator&apos;!$B$83)^9)-(&apos;Property Calculator&apos;!$B$93*(1+&apos;Property Calculator&apos;!$B$16)^9)-AJ82-&apos;Property Calculator&apos;!$B$100*((&apos;Property Calculator&apos;!$B$82*(1+&apos;Property Calculator&apos;!$B$83)^9)-(&apos;Property Calculator&apos;!$B$93*(1+&apos;Property Calculator&apos;!$B$16)^9)+(&apos;Property Calculator&apos;!$B$87*(1+&apos;Property Calculator&apos;!$B$16)^1)-(IF(AG82&lt;=0,0,IFERROR(-CUMIPMT(&apos;Property Calculator&apos;!$B$65/12,&apos;Property Calculator&apos;!$B$70*12,AG82,109,120,0),0)))-AI82-&apos;Property Calculator&apos;!$B$101-(IF(10=1,&apos;Property Calculator&apos;!$B$58,0))))+IF(10=&apos;Property Calculator&apos;!$B$11,($AE82*(1+&apos;Property Calculator&apos;!$B$12)^&apos;Property Calculator&apos;!$B$11)-(($AE82*(1+&apos;Property Calculator&apos;!$B$12)^&apos;Property Calculator&apos;!$B$11)*&apos;Exit Analysis&apos;!$B$5)-(IF(&apos;Property Calculator&apos;!$B$11&lt;10,MAX(0,($AE82*(1+&apos;Property Calculator&apos;!$B$12)^&apos;Property Calculator&apos;!$B$11)-($AE82*(1+$AB$7))+&apos;Property Calculator&apos;!$B$11*AI82-(($AE82*(1+&apos;Property Calculator&apos;!$B$12)^&apos;Property Calculator&apos;!$B$11)*&apos;Exit Analysis&apos;!$B$5))*&apos;Property Calculator&apos;!$B$100,0))-(IF(OR(AG82&lt;=0,&apos;Property Calculator&apos;!$B$11&gt;=&apos;Property Calculator&apos;!$B$70),0,IFERROR(PV(&apos;Property Calculator&apos;!$B$65/12,&apos;Property Calculator&apos;!$B$70*12-&apos;Property Calculator&apos;!$B$11*12,-AJ82/12),0))),0))</f><v>197132.97031602962</v></c><c r="AV82" s="37"><f>IFERROR(XIRR(AK82:AU82,&apos;Return Details&apos;!$L$4:$L$14),&quot;—&quot;)</f><v>4.1516593098640447E-2</v></c><c r="AW82" s="106"><f>IF(AND(ISNUMBER(AV82),AV82&gt;=$B$37,AL82&gt;=$B$38,AH82&lt;=$B$39,AF82&gt;&apos;Property Calculator&apos;!$B$63),AE82,0)</f><v>0</v></c><c r="AX82" s="106"><f t="shared" si="4"/>&lt;v&gt;0&lt;/v&gt;&lt;/c&gt;&lt;/row&gt;&lt;row r=&quot;83&quot; spans=&quot;31:50&quot; x14ac:dyDescent=&quot;0.25&quot;&gt;&lt;c r=&quot;AE83&quot; s=&quot;106&quot;&gt;&lt;v&gt;430000&lt;/v&gt;&lt;/c&gt;&lt;c r=&quot;AF83&quot; s=&quot;106&quot;&gt;&lt;f t=&quot;shared&quot; si=&quot;2&quot;/&gt;&lt;v&gt;485701&lt;/v&gt;&lt;/c&gt;&lt;c r=&quot;AG83&quot; s=&quot;106&quot;&gt;&lt;f&gt;MAX(0,AF83-&apos;Property Calculator&apos;!$B$63)</f><v>405701</v></c><c r="AH83" s="37"><f t="shared" si="3"/>&lt;v&gt;0.94349069767441862&lt;/v&gt;&lt;/c&gt;&lt;c r=&quot;AI83&quot; s=&quot;106&quot;&gt;&lt;f&gt;($AE83*(1+$AB$7)*&apos;Property Calculator&apos;!$B$96+&apos;Property Calculator&apos;!$B$59)*&apos;Property Calculator&apos;!$B$98</f><v>7504.0160000000014</v></c><c r="AJ83" s="106"><f>IF(AG83&lt;=0,0,PMT(&apos;Property Calculator&apos;!$B$65/12,&apos;Property Calculator&apos;!$B$70*12,-AG83)*12)</f><v>21861.345466647352</v></c><c r="AK83" s="106"><f>-&apos;Property Calculator&apos;!$B$63</f><v>-80000</v></c><c r="AL83" s="106"><f>IF(1&gt;&apos;Property Calculator&apos;!$B$11,0,((&apos;Property Calculator&apos;!$B$82*(1+&apos;Property Calculator&apos;!$B$83)^0)-(&apos;Property Calculator&apos;!$B$93*(1+&apos;Property Calculator&apos;!$B$16)^0)-AJ83-&apos;Property Calculator&apos;!$B$100*((&apos;Property Calculator&apos;!$B$82*(1+&apos;Property Calculator&apos;!$B$83)^0)-(&apos;Property Calculator&apos;!$B$93*(1+&apos;Property Calculator&apos;!$B$16)^0)+(&apos;Property Calculator&apos;!$B$87*(1+&apos;Property Calculator&apos;!$B$16)^0)-(IF(AG83&lt;=0,0,IFERROR(-CUMIPMT(&apos;Property Calculator&apos;!$B$65/12,&apos;Property Calculator&apos;!$B$70*12,AG83,1,12,0),0)))-AI83-&apos;Property Calculator&apos;!$B$101-(IF(1=1,&apos;Property Calculator&apos;!$B$58,0))))+IF(1=&apos;Property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-1703.9806788337482</v></c><c r="AM83" s="106"><f>IF(2&gt;&apos;Property Calculator&apos;!$B$11,0,((&apos;Property Calculator&apos;!$B$82*(1+&apos;Property Calculator&apos;!$B$83)^1)-(&apos;Property Calculator&apos;!$B$93*(1+&apos;Property Calculator&apos;!$B$16)^1)-AJ83-&apos;Property Calculator&apos;!$B$100*((&apos;Property Calculator&apos;!$B$82*(1+&apos;Property Calculator&apos;!$B$83)^1)-(&apos;Property Calculator&apos;!$B$93*(1+&apos;Property Calculator&apos;!$B$16)^1)+(&apos;Property Calculator&apos;!$B$87*(1+&apos;Property Calculator&apos;!$B$16)^1)-(IF(AG83&lt;=0,0,IFERROR(-CUMIPMT(&apos;Property Calculator&apos;!$B$65/12,&apos;Property Calculator&apos;!$B$70*12,AG83,13,24,0),0)))-AI83-&apos;Property Calculator&apos;!$B$101-(IF(2=1,&apos;Property Calculator&apos;!$B$58,0))))+IF(2=&apos;Property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-8036.6417102941932</v></c><c r="AN83" s="106"><f>IF(3&gt;&apos;Property Calculator&apos;!$B$11,0,((&apos;Property Calculator&apos;!$B$82*(1+&apos;Property Calculator&apos;!$B$83)^2)-(&apos;Property Calculator&apos;!$B$93*(1+&apos;Property Calculator&apos;!$B$16)^2)-AJ83-&apos;Property Calculator&apos;!$B$100*((&apos;Property Calculator&apos;!$B$82*(1+&apos;Property Calculator&apos;!$B$83)^2)-(&apos;Property Calculator&apos;!$B$93*(1+&apos;Property Calculator&apos;!$B$16)^2)+(&apos;Property Calculator&apos;!$B$87*(1+&apos;Property Calculator&apos;!$B$16)^1)-(IF(AG83&lt;=0,0,IFERROR(-CUMIPMT(&apos;Property Calculator&apos;!$B$65/12,&apos;Property Calculator&apos;!$B$70*12,AG83,25,36,0),0)))-AI83-&apos;Property Calculator&apos;!$B$101-(IF(3=1,&apos;Property Calculator&apos;!$B$58,0))))+IF(3=&apos;Property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-8063.4203584698789</v></c><c r="AO83" s="106"><f>IF(4&gt;&apos;Property Calculator&apos;!$B$11,0,((&apos;Property Calculator&apos;!$B$82*(1+&apos;Property Calculator&apos;!$B$83)^3)-(&apos;Property Calculator&apos;!$B$93*(1+&apos;Property Calculator&apos;!$B$16)^3)-AJ83-&apos;Property Calculator&apos;!$B$100*((&apos;Property Calculator&apos;!$B$82*(1+&apos;Property Calculator&apos;!$B$83)^3)-(&apos;Property Calculator&apos;!$B$93*(1+&apos;Property Calculator&apos;!$B$16)^3)+(&apos;Property Calculator&apos;!$B$87*(1+&apos;Property Calculator&apos;!$B$16)^1)-(IF(AG83&lt;=0,0,IFERROR(-CUMIPMT(&apos;Property Calculator&apos;!$B$65/12,&apos;Property Calculator&apos;!$B$70*12,AG83,37,48,0),0)))-AI83-&apos;Property Calculator&apos;!$B$101-(IF(4=1,&apos;Property Calculator&apos;!$B$58,0))))+IF(4=&apos;Property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-8092.8369175525559</v></c><c r="AP83" s="106"><f>IF(5&gt;&apos;Property Calculator&apos;!$B$11,0,((&apos;Property Calculator&apos;!$B$82*(1+&apos;Property Calculator&apos;!$B$83)^4)-(&apos;Property Calculator&apos;!$B$93*(1+&apos;Property Calculator&apos;!$B$16)^4)-AJ83-&apos;Property Calculator&apos;!$B$100*((&apos;Property Calculator&apos;!$B$82*(1+&apos;Property Calculator&apos;!$B$83)^4)-(&apos;Property Calculator&apos;!$B$93*(1+&apos;Property Calculator&apos;!$B$16)^4)+(&apos;Property Calculator&apos;!$B$87*(1+&apos;Property Calculator&apos;!$B$16)^1)-(IF(AG83&lt;=0,0,IFERROR(-CUMIPMT(&apos;Property Calculator&apos;!$B$65/12,&apos;Property Calculator&apos;!$B$70*12,AG83,49,60,0),0)))-AI83-&apos;Property Calculator&apos;!$B$101-(IF(5=1,&apos;Property Calculator&apos;!$B$58,0))))+IF(5=&apos;Property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-8125.0165166296038</v></c><c r="AQ83" s="106"><f>IF(6&gt;&apos;Property Calculator&apos;!$B$11,0,((&apos;Property Calculator&apos;!$B$82*(1+&apos;Property Calculator&apos;!$B$83)^5)-(&apos;Property Calculator&apos;!$B$93*(1+&apos;Property Calculator&apos;!$B$16)^5)-AJ83-&apos;Property Calculator&apos;!$B$100*((&apos;Property Calculator&apos;!$B$82*(1+&apos;Property Calculator&apos;!$B$83)^5)-(&apos;Property Calculator&apos;!$B$93*(1+&apos;Property Calculator&apos;!$B$16)^5)+(&apos;Property Calculator&apos;!$B$87*(1+&apos;Property Calculator&apos;!$B$16)^1)-(IF(AG83&lt;=0,0,IFERROR(-CUMIPMT(&apos;Property Calculator&apos;!$B$65/12,&apos;Property Calculator&apos;!$B$70*12,AG83,61,72,0),0)))-AI83-&apos;Property Calculator&apos;!$B$101-(IF(6=1,&apos;Property Calculator&apos;!$B$58,0))))+IF(6=&apos;Property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-8160.0893013093109</v></c><c r="AR83" s="106"><f>IF(7&gt;&apos;Property Calculator&apos;!$B$11,0,((&apos;Property Calculator&apos;!$B$82*(1+&apos;Property Calculator&apos;!$B$83)^6)-(&apos;Property Calculator&apos;!$B$93*(1+&apos;Property Calculator&apos;!$B$16)^6)-AJ83-&apos;Property Calculator&apos;!$B$100*((&apos;Property Calculator&apos;!$B$82*(1+&apos;Property Calculator&apos;!$B$83)^6)-(&apos;Property Calculator&apos;!$B$93*(1+&apos;Property Calculator&apos;!$B$16)^6)+(&apos;Property Calculator&apos;!$B$87*(1+&apos;Property Calculator&apos;!$B$16)^1)-(IF(AG83&lt;=0,0,IFERROR(-CUMIPMT(&apos;Property Calculator&apos;!$B$65/12,&apos;Property Calculator&apos;!$B$70*12,AG83,73,84,0),0)))-AI83-&apos;Property Calculator&apos;!$B$101-(IF(7=1,&apos;Property Calculator&apos;!$B$58,0))))+IF(7=&apos;Property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-8198.1906219626508</v></c><c r="AS83" s="106"><f>IF(8&gt;&apos;Property Calculator&apos;!$B$11,0,((&apos;Property Calculator&apos;!$B$82*(1+&apos;Property Calculator&apos;!$B$83)^7)-(&apos;Property Calculator&apos;!$B$93*(1+&apos;Property Calculator&apos;!$B$16)^7)-AJ83-&apos;Property Calculator&apos;!$B$100*((&apos;Property Calculator&apos;!$B$82*(1+&apos;Property Calculator&apos;!$B$83)^7)-(&apos;Property Calculator&apos;!$B$93*(1+&apos;Property Calculator&apos;!$B$16)^7)+(&apos;Property Calculator&apos;!$B$87*(1+&apos;Property Calculator&apos;!$B$16)^1)-(IF(AG83&lt;=0,0,IFERROR(-CUMIPMT(&apos;Property Calculator&apos;!$B$65/12,&apos;Property Calculator&apos;!$B$70*12,AG83,85,96,0),0)))-AI83-&apos;Property Calculator&apos;!$B$101-(IF(8=1,&apos;Property Calculator&apos;!$B$58,0))))+IF(8=&apos;Property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-8239.4612288190801</v></c><c r="AT83" s="106"><f>IF(9&gt;&apos;Property Calculator&apos;!$B$11,0,((&apos;Property Calculator&apos;!$B$82*(1+&apos;Property Calculator&apos;!$B$83)^8)-(&apos;Property Calculator&apos;!$B$93*(1+&apos;Property Calculator&apos;!$B$16)^8)-AJ83-&apos;Property Calculator&apos;!$B$100*((&apos;Property Calculator&apos;!$B$82*(1+&apos;Property Calculator&apos;!$B$83)^8)-(&apos;Property Calculator&apos;!$B$93*(1+&apos;Property Calculator&apos;!$B$16)^8)+(&apos;Property Calculator&apos;!$B$87*(1+&apos;Property Calculator&apos;!$B$16)^1)-(IF(AG83&lt;=0,0,IFERROR(-CUMIPMT(&apos;Property Calculator&apos;!$B$65/12,&apos;Property Calculator&apos;!$B$70*12,AG83,97,108,0),0)))-AI83-&apos;Property Calculator&apos;!$B$101-(IF(9=1,&apos;Property Calculator&apos;!$B$58,0))))+IF(9=&apos;Property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-8284.0474741623748</v></c><c r="AU83" s="106"><f>IF(10&gt;&apos;Property Calculator&apos;!$B$11,0,((&apos;Property Calculator&apos;!$B$82*(1+&apos;Property Calculator&apos;!$B$83)^9)-(&apos;Property Calculator&apos;!$B$93*(1+&apos;Property Calculator&apos;!$B$16)^9)-AJ83-&apos;Property Calculator&apos;!$B$100*((&apos;Property Calculator&apos;!$B$82*(1+&apos;Property Calculator&apos;!$B$83)^9)-(&apos;Property Calculator&apos;!$B$93*(1+&apos;Property Calculator&apos;!$B$16)^9)+(&apos;Property Calculator&apos;!$B$87*(1+&apos;Property Calculator&apos;!$B$16)^1)-(IF(AG83&lt;=0,0,IFERROR(-CUMIPMT(&apos;Property Calculator&apos;!$B$65/12,&apos;Property Calculator&apos;!$B$70*12,AG83,109,120,0),0)))-AI83-&apos;Property Calculator&apos;!$B$101-(IF(10=1,&apos;Property Calculator&apos;!$B$58,0))))+IF(10=&apos;Property Calculator&apos;!$B$11,($AE83*(1+&apos;Property Calculator&apos;!$B$12)^&apos;Property Calculator&apos;!$B$11)-(($AE83*(1+&apos;Property Calculator&apos;!$B$12)^&apos;Property Calculator&apos;!$B$11)*&apos;Exit Analysis&apos;!$B$5)-(IF(&apos;Property Calculator&apos;!$B$11&lt;10,MAX(0,($AE83*(1+&apos;Property Calculator&apos;!$B$12)^&apos;Property Calculator&apos;!$B$11)-($AE83*(1+$AB$7))+&apos;Property Calculator&apos;!$B$11*AI83-(($AE83*(1+&apos;Property Calculator&apos;!$B$12)^&apos;Property Calculator&apos;!$B$11)*&apos;Exit Analysis&apos;!$B$5))*&apos;Property Calculator&apos;!$B$100,0))-(IF(OR(AG83&lt;=0,&apos;Property Calculator&apos;!$B$11&gt;=&apos;Property Calculator&apos;!$B$70),0,IFERROR(PV(&apos;Property Calculator&apos;!$B$65/12,&apos;Property Calculator&apos;!$B$70*12-&apos;Property Calculator&apos;!$B$11*12,-AJ83/12),0))),0))</f><v>200460.82729848378</v></c><c r="AV83" s="37"><f>IFERROR(XIRR(AK83:AU83,&apos;Return Details&apos;!$L$4:$L$14),&quot;—&quot;)</f><v>4.1021671891212474E-2</v></c><c r="AW83" s="106"><f>IF(AND(ISNUMBER(AV83),AV83&gt;=$B$37,AL83&gt;=$B$38,AH83&lt;=$B$39,AF83&gt;&apos;Property Calculator&apos;!$B$63),AE83,0)</f><v>0</v></c><c r="AX83" s="106"><f t="shared" si="4"/>&lt;v&gt;0&lt;/v&gt;&lt;/c&gt;&lt;/row&gt;&lt;row r=&quot;84&quot; spans=&quot;31:50&quot; x14ac:dyDescent=&quot;0.25&quot;&gt;&lt;c r=&quot;AE84&quot; s=&quot;106&quot;&gt;&lt;v&gt;440000&lt;/v&gt;&lt;/c&gt;&lt;c r=&quot;AF84&quot; s=&quot;106&quot;&gt;&lt;f t=&quot;shared&quot; si=&quot;2&quot;/&gt;&lt;v&gt;496608&lt;/v&gt;&lt;/c&gt;&lt;c r=&quot;AG84&quot; s=&quot;106&quot;&gt;&lt;f&gt;MAX(0,AF84-&apos;Property Calculator&apos;!$B$63)</f><v>416608</v></c><c r="AH84" s="37"><f t="shared" si="3"/>&lt;v&gt;0.94683636363636359&lt;/v&gt;&lt;/c&gt;&lt;c r=&quot;AI84&quot; s=&quot;106&quot;&gt;&lt;f&gt;($AE84*(1+$AB$7)*&apos;Property Calculator&apos;!$B$96+&apos;Property Calculator&apos;!$B$59)*&apos;Property Calculator&apos;!$B$98</f><v>7678.5280000000002</v></c><c r="AJ84" s="106"><f>IF(AG84&lt;=0,0,PMT(&apos;Property Calculator&apos;!$B$65/12,&apos;Property Calculator&apos;!$B$70*12,-AG84)*12)</f><v>22449.073115839052</v></c><c r="AK84" s="106"><f>-&apos;Property Calculator&apos;!$B$63</f><v>-80000</v></c><c r="AL84" s="106"><f>IF(1&gt;&apos;Property Calculator&apos;!$B$11,0,((&apos;Property Calculator&apos;!$B$82*(1+&apos;Property Calculator&apos;!$B$83)^0)-(&apos;Property Calculator&apos;!$B$93*(1+&apos;Property Calculator&apos;!$B$16)^0)-AJ84-&apos;Property Calculator&apos;!$B$100*((&apos;Property Calculator&apos;!$B$82*(1+&apos;Property Calculator&apos;!$B$83)^0)-(&apos;Property Calculator&apos;!$B$93*(1+&apos;Property Calculator&apos;!$B$16)^0)+(&apos;Property Calculator&apos;!$B$87*(1+&apos;Property Calculator&apos;!$B$16)^0)-(IF(AG84&lt;=0,0,IFERROR(-CUMIPMT(&apos;Property Calculator&apos;!$B$65/12,&apos;Property Calculator&apos;!$B$70*12,AG84,1,12,0),0)))-AI84-&apos;Property Calculator&apos;!$B$101-(IF(1=1,&apos;Property Calculator&apos;!$B$58,0))))+IF(1=&apos;Property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-2059.481777662786</v></c><c r="AM84" s="106"><f>IF(2&gt;&apos;Property Calculator&apos;!$B$11,0,((&apos;Property Calculator&apos;!$B$82*(1+&apos;Property Calculator&apos;!$B$83)^1)-(&apos;Property Calculator&apos;!$B$93*(1+&apos;Property Calculator&apos;!$B$16)^1)-AJ84-&apos;Property Calculator&apos;!$B$100*((&apos;Property Calculator&apos;!$B$82*(1+&apos;Property Calculator&apos;!$B$83)^1)-(&apos;Property Calculator&apos;!$B$93*(1+&apos;Property Calculator&apos;!$B$16)^1)+(&apos;Property Calculator&apos;!$B$87*(1+&apos;Property Calculator&apos;!$B$16)^1)-(IF(AG84&lt;=0,0,IFERROR(-CUMIPMT(&apos;Property Calculator&apos;!$B$65/12,&apos;Property Calculator&apos;!$B$70*12,AG84,13,24,0),0)))-AI84-&apos;Property Calculator&apos;!$B$101-(IF(2=1,&apos;Property Calculator&apos;!$B$58,0))))+IF(2=&apos;Property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-8395.2696458629471</v></c><c r="AN84" s="106"><f>IF(3&gt;&apos;Property Calculator&apos;!$B$11,0,((&apos;Property Calculator&apos;!$B$82*(1+&apos;Property Calculator&apos;!$B$83)^2)-(&apos;Property Calculator&apos;!$B$93*(1+&apos;Property Calculator&apos;!$B$16)^2)-AJ84-&apos;Property Calculator&apos;!$B$100*((&apos;Property Calculator&apos;!$B$82*(1+&apos;Property Calculator&apos;!$B$83)^2)-(&apos;Property Calculator&apos;!$B$93*(1+&apos;Property Calculator&apos;!$B$16)^2)+(&apos;Property Calculator&apos;!$B$87*(1+&apos;Property Calculator&apos;!$B$16)^1)-(IF(AG84&lt;=0,0,IFERROR(-CUMIPMT(&apos;Property Calculator&apos;!$B$65/12,&apos;Property Calculator&apos;!$B$70*12,AG84,25,36,0),0)))-AI84-&apos;Property Calculator&apos;!$B$101-(IF(3=1,&apos;Property Calculator&apos;!$B$58,0))))+IF(3=&apos;Property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-8425.2863428335386</v></c><c r="AO84" s="106"><f>IF(4&gt;&apos;Property Calculator&apos;!$B$11,0,((&apos;Property Calculator&apos;!$B$82*(1+&apos;Property Calculator&apos;!$B$83)^3)-(&apos;Property Calculator&apos;!$B$93*(1+&apos;Property Calculator&apos;!$B$16)^3)-AJ84-&apos;Property Calculator&apos;!$B$100*((&apos;Property Calculator&apos;!$B$82*(1+&apos;Property Calculator&apos;!$B$83)^3)-(&apos;Property Calculator&apos;!$B$93*(1+&apos;Property Calculator&apos;!$B$16)^3)+(&apos;Property Calculator&apos;!$B$87*(1+&apos;Property Calculator&apos;!$B$16)^1)-(IF(AG84&lt;=0,0,IFERROR(-CUMIPMT(&apos;Property Calculator&apos;!$B$65/12,&apos;Property Calculator&apos;!$B$70*12,AG84,37,48,0),0)))-AI84-&apos;Property Calculator&apos;!$B$101-(IF(4=1,&apos;Property Calculator&apos;!$B$58,0))))+IF(4=&apos;Property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-8458.0561182402453</v></c><c r="AP84" s="106"><f>IF(5&gt;&apos;Property Calculator&apos;!$B$11,0,((&apos;Property Calculator&apos;!$B$82*(1+&apos;Property Calculator&apos;!$B$83)^4)-(&apos;Property Calculator&apos;!$B$93*(1+&apos;Property Calculator&apos;!$B$16)^4)-AJ84-&apos;Property Calculator&apos;!$B$100*((&apos;Property Calculator&apos;!$B$82*(1+&apos;Property Calculator&apos;!$B$83)^4)-(&apos;Property Calculator&apos;!$B$93*(1+&apos;Property Calculator&apos;!$B$16)^4)+(&apos;Property Calculator&apos;!$B$87*(1+&apos;Property Calculator&apos;!$B$16)^1)-(IF(AG84&lt;=0,0,IFERROR(-CUMIPMT(&apos;Property Calculator&apos;!$B$65/12,&apos;Property Calculator&apos;!$B$70*12,AG84,49,60,0),0)))-AI84-&apos;Property Calculator&apos;!$B$101-(IF(5=1,&apos;Property Calculator&apos;!$B$58,0))))+IF(5=&apos;Property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-8493.7081973285385</v></c><c r="AQ84" s="106"><f>IF(6&gt;&apos;Property Calculator&apos;!$B$11,0,((&apos;Property Calculator&apos;!$B$82*(1+&apos;Property Calculator&apos;!$B$83)^5)-(&apos;Property Calculator&apos;!$B$93*(1+&apos;Property Calculator&apos;!$B$16)^5)-AJ84-&apos;Property Calculator&apos;!$B$100*((&apos;Property Calculator&apos;!$B$82*(1+&apos;Property Calculator&apos;!$B$83)^5)-(&apos;Property Calculator&apos;!$B$93*(1+&apos;Property Calculator&apos;!$B$16)^5)+(&apos;Property Calculator&apos;!$B$87*(1+&apos;Property Calculator&apos;!$B$16)^1)-(IF(AG84&lt;=0,0,IFERROR(-CUMIPMT(&apos;Property Calculator&apos;!$B$65/12,&apos;Property Calculator&apos;!$B$70*12,AG84,61,72,0),0)))-AI84-&apos;Property Calculator&apos;!$B$101-(IF(6=1,&apos;Property Calculator&apos;!$B$58,0))))+IF(6=&apos;Property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-8532.3769675526582</v></c><c r="AR84" s="106"><f>IF(7&gt;&apos;Property Calculator&apos;!$B$11,0,((&apos;Property Calculator&apos;!$B$82*(1+&apos;Property Calculator&apos;!$B$83)^6)-(&apos;Property Calculator&apos;!$B$93*(1+&apos;Property Calculator&apos;!$B$16)^6)-AJ84-&apos;Property Calculator&apos;!$B$100*((&apos;Property Calculator&apos;!$B$82*(1+&apos;Property Calculator&apos;!$B$83)^6)-(&apos;Property Calculator&apos;!$B$93*(1+&apos;Property Calculator&apos;!$B$16)^6)+(&apos;Property Calculator&apos;!$B$87*(1+&apos;Property Calculator&apos;!$B$16)^1)-(IF(AG84&lt;=0,0,IFERROR(-CUMIPMT(&apos;Property Calculator&apos;!$B$65/12,&apos;Property Calculator&apos;!$B$70*12,AG84,73,84,0),0)))-AI84-&apos;Property Calculator&apos;!$B$101-(IF(7=1,&apos;Property Calculator&apos;!$B$58,0))))+IF(7=&apos;Property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-8574.2021719990626</v></c><c r="AS84" s="106"><f>IF(8&gt;&apos;Property Calculator&apos;!$B$11,0,((&apos;Property Calculator&apos;!$B$82*(1+&apos;Property Calculator&apos;!$B$83)^7)-(&apos;Property Calculator&apos;!$B$93*(1+&apos;Property Calculator&apos;!$B$16)^7)-AJ84-&apos;Property Calculator&apos;!$B$100*((&apos;Property Calculator&apos;!$B$82*(1+&apos;Property Calculator&apos;!$B$83)^7)-(&apos;Property Calculator&apos;!$B$93*(1+&apos;Property Calculator&apos;!$B$16)^7)+(&apos;Property Calculator&apos;!$B$87*(1+&apos;Property Calculator&apos;!$B$16)^1)-(IF(AG84&lt;=0,0,IFERROR(-CUMIPMT(&apos;Property Calculator&apos;!$B$65/12,&apos;Property Calculator&apos;!$B$70*12,AG84,85,96,0),0)))-AI84-&apos;Property Calculator&apos;!$B$101-(IF(8=1,&apos;Property Calculator&apos;!$B$58,0))))+IF(8=&apos;Property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-8619.3291098482005</v></c><c r="AT84" s="106"><f>IF(9&gt;&apos;Property Calculator&apos;!$B$11,0,((&apos;Property Calculator&apos;!$B$82*(1+&apos;Property Calculator&apos;!$B$83)^8)-(&apos;Property Calculator&apos;!$B$93*(1+&apos;Property Calculator&apos;!$B$16)^8)-AJ84-&apos;Property Calculator&apos;!$B$100*((&apos;Property Calculator&apos;!$B$82*(1+&apos;Property Calculator&apos;!$B$83)^8)-(&apos;Property Calculator&apos;!$B$93*(1+&apos;Property Calculator&apos;!$B$16)^8)+(&apos;Property Calculator&apos;!$B$87*(1+&apos;Property Calculator&apos;!$B$16)^1)-(IF(AG84&lt;=0,0,IFERROR(-CUMIPMT(&apos;Property Calculator&apos;!$B$65/12,&apos;Property Calculator&apos;!$B$70*12,AG84,97,108,0),0)))-AI84-&apos;Property Calculator&apos;!$B$101-(IF(9=1,&apos;Property Calculator&apos;!$B$58,0))))+IF(9=&apos;Property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-8667.9088441271633</v></c><c r="AU84" s="106"><f>IF(10&gt;&apos;Property Calculator&apos;!$B$11,0,((&apos;Property Calculator&apos;!$B$82*(1+&apos;Property Calculator&apos;!$B$83)^9)-(&apos;Property Calculator&apos;!$B$93*(1+&apos;Property Calculator&apos;!$B$16)^9)-AJ84-&apos;Property Calculator&apos;!$B$100*((&apos;Property Calculator&apos;!$B$82*(1+&apos;Property Calculator&apos;!$B$83)^9)-(&apos;Property Calculator&apos;!$B$93*(1+&apos;Property Calculator&apos;!$B$16)^9)+(&apos;Property Calculator&apos;!$B$87*(1+&apos;Property Calculator&apos;!$B$16)^1)-(IF(AG84&lt;=0,0,IFERROR(-CUMIPMT(&apos;Property Calculator&apos;!$B$65/12,&apos;Property Calculator&apos;!$B$70*12,AG84,109,120,0),0)))-AI84-&apos;Property Calculator&apos;!$B$101-(IF(10=1,&apos;Property Calculator&apos;!$B$58,0))))+IF(10=&apos;Property Calculator&apos;!$B$11,($AE84*(1+&apos;Property Calculator&apos;!$B$12)^&apos;Property Calculator&apos;!$B$11)-(($AE84*(1+&apos;Property Calculator&apos;!$B$12)^&apos;Property Calculator&apos;!$B$11)*&apos;Exit Analysis&apos;!$B$5)-(IF(&apos;Property Calculator&apos;!$B$11&lt;10,MAX(0,($AE84*(1+&apos;Property Calculator&apos;!$B$12)^&apos;Property Calculator&apos;!$B$11)-($AE84*(1+$AB$7))+&apos;Property Calculator&apos;!$B$11*AI84-(($AE84*(1+&apos;Property Calculator&apos;!$B$12)^&apos;Property Calculator&apos;!$B$11)*&apos;Exit Analysis&apos;!$B$5))*&apos;Property Calculator&apos;!$B$100,0))-(IF(OR(AG84&lt;=0,&apos;Property Calculator&apos;!$B$11&gt;=&apos;Property Calculator&apos;!$B$70),0,IFERROR(PV(&apos;Property Calculator&apos;!$B$65/12,&apos;Property Calculator&apos;!$B$70*12-&apos;Property Calculator&apos;!$B$11*12,-AJ84/12),0))),0))</f><v>203788.68428093815</v></c><c r="AV84" s="37"><f>IFERROR(XIRR(AK84:AU84,&apos;Return Details&apos;!$L$4:$L$14),&quot;—&quot;)</f><v>4.0537992119789132E-2</v></c><c r="AW84" s="106"><f>IF(AND(ISNUMBER(AV84),AV84&gt;=$B$37,AL84&gt;=$B$38,AH84&lt;=$B$39,AF84&gt;&apos;Property Calculator&apos;!$B$63),AE84,0)</f><v>0</v></c><c r="AX84" s="106"><f t="shared" si="4"/>&lt;v&gt;0&lt;/v&gt;&lt;/c&gt;&lt;/row&gt;&lt;row r=&quot;85&quot; spans=&quot;31:50&quot; x14ac:dyDescent=&quot;0.25&quot;&gt;&lt;c r=&quot;AE85&quot; s=&quot;106&quot;&gt;&lt;v&gt;450000&lt;/v&gt;&lt;/c&gt;&lt;c r=&quot;AF85&quot; s=&quot;106&quot;&gt;&lt;f t=&quot;shared&quot; si=&quot;2&quot;/&gt;&lt;v&gt;507515&lt;/v&gt;&lt;/c&gt;&lt;c r=&quot;AG85&quot; s=&quot;106&quot;&gt;&lt;f&gt;MAX(0,AF85-&apos;Property Calculator&apos;!$B$63)</f><v>427515</v></c><c r="AH85" s="37"><f t="shared" si="3"/>&lt;v&gt;0.95003333333333329&lt;/v&gt;&lt;/c&gt;&lt;c r=&quot;AI85&quot; s=&quot;106&quot;&gt;&lt;f&gt;($AE85*(1+$AB$7)*&apos;Property Calculator&apos;!$B$96+&apos;Property Calculator&apos;!$B$59)*&apos;Property Calculator&apos;!$B$98</f><v>7853.04</v></c><c r="AJ85" s="106"><f>IF(AG85&lt;=0,0,PMT(&apos;Property Calculator&apos;!$B$65/12,&apos;Property Calculator&apos;!$B$70*12,-AG85)*12)</f><v>23036.800765030752</v></c><c r="AK85" s="106"><f>-&apos;Property Calculator&apos;!$B$63</f><v>-80000</v></c><c r="AL85" s="106"><f>IF(1&gt;&apos;Property Calculator&apos;!$B$11,0,((&apos;Property Calculator&apos;!$B$82*(1+&apos;Property Calculator&apos;!$B$83)^0)-(&apos;Property Calculator&apos;!$B$93*(1+&apos;Property Calculator&apos;!$B$16)^0)-AJ85-&apos;Property Calculator&apos;!$B$100*((&apos;Property Calculator&apos;!$B$82*(1+&apos;Property Calculator&apos;!$B$83)^0)-(&apos;Property Calculator&apos;!$B$93*(1+&apos;Property Calculator&apos;!$B$16)^0)+(&apos;Property Calculator&apos;!$B$87*(1+&apos;Property Calculator&apos;!$B$16)^0)-(IF(AG85&lt;=0,0,IFERROR(-CUMIPMT(&apos;Property Calculator&apos;!$B$65/12,&apos;Property Calculator&apos;!$B$70*12,AG85,1,12,0),0)))-AI85-&apos;Property Calculator&apos;!$B$101-(IF(1=1,&apos;Property Calculator&apos;!$B$58,0))))+IF(1=&apos;Property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-2414.9828764918238</v></c><c r="AM85" s="106"><f>IF(2&gt;&apos;Property Calculator&apos;!$B$11,0,((&apos;Property Calculator&apos;!$B$82*(1+&apos;Property Calculator&apos;!$B$83)^1)-(&apos;Property Calculator&apos;!$B$93*(1+&apos;Property Calculator&apos;!$B$16)^1)-AJ85-&apos;Property Calculator&apos;!$B$100*((&apos;Property Calculator&apos;!$B$82*(1+&apos;Property Calculator&apos;!$B$83)^1)-(&apos;Property Calculator&apos;!$B$93*(1+&apos;Property Calculator&apos;!$B$16)^1)+(&apos;Property Calculator&apos;!$B$87*(1+&apos;Property Calculator&apos;!$B$16)^1)-(IF(AG85&lt;=0,0,IFERROR(-CUMIPMT(&apos;Property Calculator&apos;!$B$65/12,&apos;Property Calculator&apos;!$B$70*12,AG85,13,24,0),0)))-AI85-&apos;Property Calculator&apos;!$B$101-(IF(2=1,&apos;Property Calculator&apos;!$B$58,0))))+IF(2=&apos;Property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-8753.8975814316982</v></c><c r="AN85" s="106"><f>IF(3&gt;&apos;Property Calculator&apos;!$B$11,0,((&apos;Property Calculator&apos;!$B$82*(1+&apos;Property Calculator&apos;!$B$83)^2)-(&apos;Property Calculator&apos;!$B$93*(1+&apos;Property Calculator&apos;!$B$16)^2)-AJ85-&apos;Property Calculator&apos;!$B$100*((&apos;Property Calculator&apos;!$B$82*(1+&apos;Property Calculator&apos;!$B$83)^2)-(&apos;Property Calculator&apos;!$B$93*(1+&apos;Property Calculator&apos;!$B$16)^2)+(&apos;Property Calculator&apos;!$B$87*(1+&apos;Property Calculator&apos;!$B$16)^1)-(IF(AG85&lt;=0,0,IFERROR(-CUMIPMT(&apos;Property Calculator&apos;!$B$65/12,&apos;Property Calculator&apos;!$B$70*12,AG85,25,36,0),0)))-AI85-&apos;Property Calculator&apos;!$B$101-(IF(3=1,&apos;Property Calculator&apos;!$B$58,0))))+IF(3=&apos;Property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-8787.1523271971964</v></c><c r="AO85" s="106"><f>IF(4&gt;&apos;Property Calculator&apos;!$B$11,0,((&apos;Property Calculator&apos;!$B$82*(1+&apos;Property Calculator&apos;!$B$83)^3)-(&apos;Property Calculator&apos;!$B$93*(1+&apos;Property Calculator&apos;!$B$16)^3)-AJ85-&apos;Property Calculator&apos;!$B$100*((&apos;Property Calculator&apos;!$B$82*(1+&apos;Property Calculator&apos;!$B$83)^3)-(&apos;Property Calculator&apos;!$B$93*(1+&apos;Property Calculator&apos;!$B$16)^3)+(&apos;Property Calculator&apos;!$B$87*(1+&apos;Property Calculator&apos;!$B$16)^1)-(IF(AG85&lt;=0,0,IFERROR(-CUMIPMT(&apos;Property Calculator&apos;!$B$65/12,&apos;Property Calculator&apos;!$B$70*12,AG85,37,48,0),0)))-AI85-&apos;Property Calculator&apos;!$B$101-(IF(4=1,&apos;Property Calculator&apos;!$B$58,0))))+IF(4=&apos;Property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-8823.2753189279356</v></c><c r="AP85" s="106"><f>IF(5&gt;&apos;Property Calculator&apos;!$B$11,0,((&apos;Property Calculator&apos;!$B$82*(1+&apos;Property Calculator&apos;!$B$83)^4)-(&apos;Property Calculator&apos;!$B$93*(1+&apos;Property Calculator&apos;!$B$16)^4)-AJ85-&apos;Property Calculator&apos;!$B$100*((&apos;Property Calculator&apos;!$B$82*(1+&apos;Property Calculator&apos;!$B$83)^4)-(&apos;Property Calculator&apos;!$B$93*(1+&apos;Property Calculator&apos;!$B$16)^4)+(&apos;Property Calculator&apos;!$B$87*(1+&apos;Property Calculator&apos;!$B$16)^1)-(IF(AG85&lt;=0,0,IFERROR(-CUMIPMT(&apos;Property Calculator&apos;!$B$65/12,&apos;Property Calculator&apos;!$B$70*12,AG85,49,60,0),0)))-AI85-&apos;Property Calculator&apos;!$B$101-(IF(5=1,&apos;Property Calculator&apos;!$B$58,0))))+IF(5=&apos;Property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-8862.3998780274742</v></c><c r="AQ85" s="106"><f>IF(6&gt;&apos;Property Calculator&apos;!$B$11,0,((&apos;Property Calculator&apos;!$B$82*(1+&apos;Property Calculator&apos;!$B$83)^5)-(&apos;Property Calculator&apos;!$B$93*(1+&apos;Property Calculator&apos;!$B$16)^5)-AJ85-&apos;Property Calculator&apos;!$B$100*((&apos;Property Calculator&apos;!$B$82*(1+&apos;Property Calculator&apos;!$B$83)^5)-(&apos;Property Calculator&apos;!$B$93*(1+&apos;Property Calculator&apos;!$B$16)^5)+(&apos;Property Calculator&apos;!$B$87*(1+&apos;Property Calculator&apos;!$B$16)^1)-(IF(AG85&lt;=0,0,IFERROR(-CUMIPMT(&apos;Property Calculator&apos;!$B$65/12,&apos;Property Calculator&apos;!$B$70*12,AG85,61,72,0),0)))-AI85-&apos;Property Calculator&apos;!$B$101-(IF(6=1,&apos;Property Calculator&apos;!$B$58,0))))+IF(6=&apos;Property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-8904.6646337960046</v></c><c r="AR85" s="106"><f>IF(7&gt;&apos;Property Calculator&apos;!$B$11,0,((&apos;Property Calculator&apos;!$B$82*(1+&apos;Property Calculator&apos;!$B$83)^6)-(&apos;Property Calculator&apos;!$B$93*(1+&apos;Property Calculator&apos;!$B$16)^6)-AJ85-&apos;Property Calculator&apos;!$B$100*((&apos;Property Calculator&apos;!$B$82*(1+&apos;Property Calculator&apos;!$B$83)^6)-(&apos;Property Calculator&apos;!$B$93*(1+&apos;Property Calculator&apos;!$B$16)^6)+(&apos;Property Calculator&apos;!$B$87*(1+&apos;Property Calculator&apos;!$B$16)^1)-(IF(AG85&lt;=0,0,IFERROR(-CUMIPMT(&apos;Property Calculator&apos;!$B$65/12,&apos;Property Calculator&apos;!$B$70*12,AG85,73,84,0),0)))-AI85-&apos;Property Calculator&apos;!$B$101-(IF(7=1,&apos;Property Calculator&apos;!$B$58,0))))+IF(7=&apos;Property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-8950.2137220354725</v></c><c r="AS85" s="106"><f>IF(8&gt;&apos;Property Calculator&apos;!$B$11,0,((&apos;Property Calculator&apos;!$B$82*(1+&apos;Property Calculator&apos;!$B$83)^7)-(&apos;Property Calculator&apos;!$B$93*(1+&apos;Property Calculator&apos;!$B$16)^7)-AJ85-&apos;Property Calculator&apos;!$B$100*((&apos;Property Calculator&apos;!$B$82*(1+&apos;Property Calculator&apos;!$B$83)^7)-(&apos;Property Calculator&apos;!$B$93*(1+&apos;Property Calculator&apos;!$B$16)^7)+(&apos;Property Calculator&apos;!$B$87*(1+&apos;Property Calculator&apos;!$B$16)^1)-(IF(AG85&lt;=0,0,IFERROR(-CUMIPMT(&apos;Property Calculator&apos;!$B$65/12,&apos;Property Calculator&apos;!$B$70*12,AG85,85,96,0),0)))-AI85-&apos;Property Calculator&apos;!$B$101-(IF(8=1,&apos;Property Calculator&apos;!$B$58,0))))+IF(8=&apos;Property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-8999.196990877319</v></c><c r="AT85" s="106"><f>IF(9&gt;&apos;Property Calculator&apos;!$B$11,0,((&apos;Property Calculator&apos;!$B$82*(1+&apos;Property Calculator&apos;!$B$83)^8)-(&apos;Property Calculator&apos;!$B$93*(1+&apos;Property Calculator&apos;!$B$16)^8)-AJ85-&apos;Property Calculator&apos;!$B$100*((&apos;Property Calculator&apos;!$B$82*(1+&apos;Property Calculator&apos;!$B$83)^8)-(&apos;Property Calculator&apos;!$B$93*(1+&apos;Property Calculator&apos;!$B$16)^8)+(&apos;Property Calculator&apos;!$B$87*(1+&apos;Property Calculator&apos;!$B$16)^1)-(IF(AG85&lt;=0,0,IFERROR(-CUMIPMT(&apos;Property Calculator&apos;!$B$65/12,&apos;Property Calculator&apos;!$B$70*12,AG85,97,108,0),0)))-AI85-&apos;Property Calculator&apos;!$B$101-(IF(9=1,&apos;Property Calculator&apos;!$B$58,0))))+IF(9=&apos;Property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-9051.7702140919537</v></c><c r="AU85" s="106"><f>IF(10&gt;&apos;Property Calculator&apos;!$B$11,0,((&apos;Property Calculator&apos;!$B$82*(1+&apos;Property Calculator&apos;!$B$83)^9)-(&apos;Property Calculator&apos;!$B$93*(1+&apos;Property Calculator&apos;!$B$16)^9)-AJ85-&apos;Property Calculator&apos;!$B$100*((&apos;Property Calculator&apos;!$B$82*(1+&apos;Property Calculator&apos;!$B$83)^9)-(&apos;Property Calculator&apos;!$B$93*(1+&apos;Property Calculator&apos;!$B$16)^9)+(&apos;Property Calculator&apos;!$B$87*(1+&apos;Property Calculator&apos;!$B$16)^1)-(IF(AG85&lt;=0,0,IFERROR(-CUMIPMT(&apos;Property Calculator&apos;!$B$65/12,&apos;Property Calculator&apos;!$B$70*12,AG85,109,120,0),0)))-AI85-&apos;Property Calculator&apos;!$B$101-(IF(10=1,&apos;Property Calculator&apos;!$B$58,0))))+IF(10=&apos;Property Calculator&apos;!$B$11,($AE85*(1+&apos;Property Calculator&apos;!$B$12)^&apos;Property Calculator&apos;!$B$11)-(($AE85*(1+&apos;Property Calculator&apos;!$B$12)^&apos;Property Calculator&apos;!$B$11)*&apos;Exit Analysis&apos;!$B$5)-(IF(&apos;Property Calculator&apos;!$B$11&lt;10,MAX(0,($AE85*(1+&apos;Property Calculator&apos;!$B$12)^&apos;Property Calculator&apos;!$B$11)-($AE85*(1+$AB$7))+&apos;Property Calculator&apos;!$B$11*AI85-(($AE85*(1+&apos;Property Calculator&apos;!$B$12)^&apos;Property Calculator&apos;!$B$11)*&apos;Exit Analysis&apos;!$B$5))*&apos;Property Calculator&apos;!$B$100,0))-(IF(OR(AG85&lt;=0,&apos;Property Calculator&apos;!$B$11&gt;=&apos;Property Calculator&apos;!$B$70),0,IFERROR(PV(&apos;Property Calculator&apos;!$B$65/12,&apos;Property Calculator&apos;!$B$70*12-&apos;Property Calculator&apos;!$B$11*12,-AJ85/12),0))),0))</f><v>207116.54126339234</v></c><c r="AV85" s="37"><f>IFERROR(XIRR(AK85:AU85,&apos;Return Details&apos;!$L$4:$L$14),&quot;—&quot;)</f><v>4.0065190196037298E-2</v></c><c r="AW85" s="106"><f>IF(AND(ISNUMBER(AV85),AV85&gt;=$B$37,AL85&gt;=$B$38,AH85&lt;=$B$39,AF85&gt;&apos;Property Calculator&apos;!$B$63),AE85,0)</f><v>0</v></c><c r="AX85" s="106"><f t="shared" si="4"/>&lt;v&gt;0&lt;/v&gt;&lt;/c&gt;&lt;/row&gt;&lt;row r=&quot;86&quot; spans=&quot;31:50&quot; x14ac:dyDescent=&quot;0.25&quot;&gt;&lt;c r=&quot;AE86&quot; s=&quot;106&quot;&gt;&lt;v&gt;460000&lt;/v&gt;&lt;/c&gt;&lt;c r=&quot;AF86&quot; s=&quot;106&quot;&gt;&lt;f t=&quot;shared&quot; si=&quot;2&quot;/&gt;&lt;v&gt;518422&lt;/v&gt;&lt;/c&gt;&lt;c r=&quot;AG86&quot; s=&quot;106&quot;&gt;&lt;f&gt;MAX(0,AF86-&apos;Property Calculator&apos;!$B$63)</f><v>438422</v></c><c r="AH86" s="37"><f t="shared" si="3"/>&lt;v&gt;0.95309130434782607&lt;/v&gt;&lt;/c&gt;&lt;c r=&quot;AI86&quot; s=&quot;106&quot;&gt;&lt;f&gt;($AE86*(1+$AB$7)*&apos;Property Calculator&apos;!$B$96+&apos;Property Calculator&apos;!$B$59)*&apos;Property Calculator&apos;!$B$98</f><v>8027.5520000000006</v></c><c r="AJ86" s="106"><f>IF(AG86&lt;=0,0,PMT(&apos;Property Calculator&apos;!$B$65/12,&apos;Property Calculator&apos;!$B$70*12,-AG86)*12)</f><v>23624.528414222455</v></c><c r="AK86" s="106"><f>-&apos;Property Calculator&apos;!$B$63</f><v>-80000</v></c><c r="AL86" s="106"><f>IF(1&gt;&apos;Property Calculator&apos;!$B$11,0,((&apos;Property Calculator&apos;!$B$82*(1+&apos;Property Calculator&apos;!$B$83)^0)-(&apos;Property Calculator&apos;!$B$93*(1+&apos;Property Calculator&apos;!$B$16)^0)-AJ86-&apos;Property Calculator&apos;!$B$100*((&apos;Property Calculator&apos;!$B$82*(1+&apos;Property Calculator&apos;!$B$83)^0)-(&apos;Property Calculator&apos;!$B$93*(1+&apos;Property Calculator&apos;!$B$16)^0)+(&apos;Property Calculator&apos;!$B$87*(1+&apos;Property Calculator&apos;!$B$16)^0)-(IF(AG86&lt;=0,0,IFERROR(-CUMIPMT(&apos;Property Calculator&apos;!$B$65/12,&apos;Property Calculator&apos;!$B$70*12,AG86,1,12,0),0)))-AI86-&apos;Property Calculator&apos;!$B$101-(IF(1=1,&apos;Property Calculator&apos;!$B$58,0))))+IF(1=&apos;Property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-2770.4839753208635</v></c><c r="AM86" s="106"><f>IF(2&gt;&apos;Property Calculator&apos;!$B$11,0,((&apos;Property Calculator&apos;!$B$82*(1+&apos;Property Calculator&apos;!$B$83)^1)-(&apos;Property Calculator&apos;!$B$93*(1+&apos;Property Calculator&apos;!$B$16)^1)-AJ86-&apos;Property Calculator&apos;!$B$100*((&apos;Property Calculator&apos;!$B$82*(1+&apos;Property Calculator&apos;!$B$83)^1)-(&apos;Property Calculator&apos;!$B$93*(1+&apos;Property Calculator&apos;!$B$16)^1)+(&apos;Property Calculator&apos;!$B$87*(1+&apos;Property Calculator&apos;!$B$16)^1)-(IF(AG86&lt;=0,0,IFERROR(-CUMIPMT(&apos;Property Calculator&apos;!$B$65/12,&apos;Property Calculator&apos;!$B$70*12,AG86,13,24,0),0)))-AI86-&apos;Property Calculator&apos;!$B$101-(IF(2=1,&apos;Property Calculator&apos;!$B$58,0))))+IF(2=&apos;Property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-9112.525517000453</v></c><c r="AN86" s="106"><f>IF(3&gt;&apos;Property Calculator&apos;!$B$11,0,((&apos;Property Calculator&apos;!$B$82*(1+&apos;Property Calculator&apos;!$B$83)^2)-(&apos;Property Calculator&apos;!$B$93*(1+&apos;Property Calculator&apos;!$B$16)^2)-AJ86-&apos;Property Calculator&apos;!$B$100*((&apos;Property Calculator&apos;!$B$82*(1+&apos;Property Calculator&apos;!$B$83)^2)-(&apos;Property Calculator&apos;!$B$93*(1+&apos;Property Calculator&apos;!$B$16)^2)+(&apos;Property Calculator&apos;!$B$87*(1+&apos;Property Calculator&apos;!$B$16)^1)-(IF(AG86&lt;=0,0,IFERROR(-CUMIPMT(&apos;Property Calculator&apos;!$B$65/12,&apos;Property Calculator&apos;!$B$70*12,AG86,25,36,0),0)))-AI86-&apos;Property Calculator&apos;!$B$101-(IF(3=1,&apos;Property Calculator&apos;!$B$58,0))))+IF(3=&apos;Property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-9149.0183115608561</v></c><c r="AO86" s="106"><f>IF(4&gt;&apos;Property Calculator&apos;!$B$11,0,((&apos;Property Calculator&apos;!$B$82*(1+&apos;Property Calculator&apos;!$B$83)^3)-(&apos;Property Calculator&apos;!$B$93*(1+&apos;Property Calculator&apos;!$B$16)^3)-AJ86-&apos;Property Calculator&apos;!$B$100*((&apos;Property Calculator&apos;!$B$82*(1+&apos;Property Calculator&apos;!$B$83)^3)-(&apos;Property Calculator&apos;!$B$93*(1+&apos;Property Calculator&apos;!$B$16)^3)+(&apos;Property Calculator&apos;!$B$87*(1+&apos;Property Calculator&apos;!$B$16)^1)-(IF(AG86&lt;=0,0,IFERROR(-CUMIPMT(&apos;Property Calculator&apos;!$B$65/12,&apos;Property Calculator&apos;!$B$70*12,AG86,37,48,0),0)))-AI86-&apos;Property Calculator&apos;!$B$101-(IF(4=1,&apos;Property Calculator&apos;!$B$58,0))))+IF(4=&apos;Property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-9188.4945196156259</v></c><c r="AP86" s="106"><f>IF(5&gt;&apos;Property Calculator&apos;!$B$11,0,((&apos;Property Calculator&apos;!$B$82*(1+&apos;Property Calculator&apos;!$B$83)^4)-(&apos;Property Calculator&apos;!$B$93*(1+&apos;Property Calculator&apos;!$B$16)^4)-AJ86-&apos;Property Calculator&apos;!$B$100*((&apos;Property Calculator&apos;!$B$82*(1+&apos;Property Calculator&apos;!$B$83)^4)-(&apos;Property Calculator&apos;!$B$93*(1+&apos;Property Calculator&apos;!$B$16)^4)+(&apos;Property Calculator&apos;!$B$87*(1+&apos;Property Calculator&apos;!$B$16)^1)-(IF(AG86&lt;=0,0,IFERROR(-CUMIPMT(&apos;Property Calculator&apos;!$B$65/12,&apos;Property Calculator&apos;!$B$70*12,AG86,49,60,0),0)))-AI86-&apos;Property Calculator&apos;!$B$101-(IF(5=1,&apos;Property Calculator&apos;!$B$58,0))))+IF(5=&apos;Property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-9231.0915587264099</v></c><c r="AQ86" s="106"><f>IF(6&gt;&apos;Property Calculator&apos;!$B$11,0,((&apos;Property Calculator&apos;!$B$82*(1+&apos;Property Calculator&apos;!$B$83)^5)-(&apos;Property Calculator&apos;!$B$93*(1+&apos;Property Calculator&apos;!$B$16)^5)-AJ86-&apos;Property Calculator&apos;!$B$100*((&apos;Property Calculator&apos;!$B$82*(1+&apos;Property Calculator&apos;!$B$83)^5)-(&apos;Property Calculator&apos;!$B$93*(1+&apos;Property Calculator&apos;!$B$16)^5)+(&apos;Property Calculator&apos;!$B$87*(1+&apos;Property Calculator&apos;!$B$16)^1)-(IF(AG86&lt;=0,0,IFERROR(-CUMIPMT(&apos;Property Calculator&apos;!$B$65/12,&apos;Property Calculator&apos;!$B$70*12,AG86,61,72,0),0)))-AI86-&apos;Property Calculator&apos;!$B$101-(IF(6=1,&apos;Property Calculator&apos;!$B$58,0))))+IF(6=&apos;Property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-9276.9523000393528</v></c><c r="AR86" s="106"><f>IF(7&gt;&apos;Property Calculator&apos;!$B$11,0,((&apos;Property Calculator&apos;!$B$82*(1+&apos;Property Calculator&apos;!$B$83)^6)-(&apos;Property Calculator&apos;!$B$93*(1+&apos;Property Calculator&apos;!$B$16)^6)-AJ86-&apos;Property Calculator&apos;!$B$100*((&apos;Property Calculator&apos;!$B$82*(1+&apos;Property Calculator&apos;!$B$83)^6)-(&apos;Property Calculator&apos;!$B$93*(1+&apos;Property Calculator&apos;!$B$16)^6)+(&apos;Property Calculator&apos;!$B$87*(1+&apos;Property Calculator&apos;!$B$16)^1)-(IF(AG86&lt;=0,0,IFERROR(-CUMIPMT(&apos;Property Calculator&apos;!$B$65/12,&apos;Property Calculator&apos;!$B$70*12,AG86,73,84,0),0)))-AI86-&apos;Property Calculator&apos;!$B$101-(IF(7=1,&apos;Property Calculator&apos;!$B$58,0))))+IF(7=&apos;Property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-9326.2252720718843</v></c><c r="AS86" s="106"><f>IF(8&gt;&apos;Property Calculator&apos;!$B$11,0,((&apos;Property Calculator&apos;!$B$82*(1+&apos;Property Calculator&apos;!$B$83)^7)-(&apos;Property Calculator&apos;!$B$93*(1+&apos;Property Calculator&apos;!$B$16)^7)-AJ86-&apos;Property Calculator&apos;!$B$100*((&apos;Property Calculator&apos;!$B$82*(1+&apos;Property Calculator&apos;!$B$83)^7)-(&apos;Property Calculator&apos;!$B$93*(1+&apos;Property Calculator&apos;!$B$16)^7)+(&apos;Property Calculator&apos;!$B$87*(1+&apos;Property Calculator&apos;!$B$16)^1)-(IF(AG86&lt;=0,0,IFERROR(-CUMIPMT(&apos;Property Calculator&apos;!$B$65/12,&apos;Property Calculator&apos;!$B$70*12,AG86,85,96,0),0)))-AI86-&apos;Property Calculator&apos;!$B$101-(IF(8=1,&apos;Property Calculator&apos;!$B$58,0))))+IF(8=&apos;Property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-9379.0648719064393</v></c><c r="AT86" s="106"><f>IF(9&gt;&apos;Property Calculator&apos;!$B$11,0,((&apos;Property Calculator&apos;!$B$82*(1+&apos;Property Calculator&apos;!$B$83)^8)-(&apos;Property Calculator&apos;!$B$93*(1+&apos;Property Calculator&apos;!$B$16)^8)-AJ86-&apos;Property Calculator&apos;!$B$100*((&apos;Property Calculator&apos;!$B$82*(1+&apos;Property Calculator&apos;!$B$83)^8)-(&apos;Property Calculator&apos;!$B$93*(1+&apos;Property Calculator&apos;!$B$16)^8)+(&apos;Property Calculator&apos;!$B$87*(1+&apos;Property Calculator&apos;!$B$16)^1)-(IF(AG86&lt;=0,0,IFERROR(-CUMIPMT(&apos;Property Calculator&apos;!$B$65/12,&apos;Property Calculator&apos;!$B$70*12,AG86,97,108,0),0)))-AI86-&apos;Property Calculator&apos;!$B$101-(IF(9=1,&apos;Property Calculator&apos;!$B$58,0))))+IF(9=&apos;Property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-9435.631584056744</v></c><c r="AU86" s="106"><f>IF(10&gt;&apos;Property Calculator&apos;!$B$11,0,((&apos;Property Calculator&apos;!$B$82*(1+&apos;Property Calculator&apos;!$B$83)^9)-(&apos;Property Calculator&apos;!$B$93*(1+&apos;Property Calculator&apos;!$B$16)^9)-AJ86-&apos;Property Calculator&apos;!$B$100*((&apos;Property Calculator&apos;!$B$82*(1+&apos;Property Calculator&apos;!$B$83)^9)-(&apos;Property Calculator&apos;!$B$93*(1+&apos;Property Calculator&apos;!$B$16)^9)+(&apos;Property Calculator&apos;!$B$87*(1+&apos;Property Calculator&apos;!$B$16)^1)-(IF(AG86&lt;=0,0,IFERROR(-CUMIPMT(&apos;Property Calculator&apos;!$B$65/12,&apos;Property Calculator&apos;!$B$70*12,AG86,109,120,0),0)))-AI86-&apos;Property Calculator&apos;!$B$101-(IF(10=1,&apos;Property Calculator&apos;!$B$58,0))))+IF(10=&apos;Property Calculator&apos;!$B$11,($AE86*(1+&apos;Property Calculator&apos;!$B$12)^&apos;Property Calculator&apos;!$B$11)-(($AE86*(1+&apos;Property Calculator&apos;!$B$12)^&apos;Property Calculator&apos;!$B$11)*&apos;Exit Analysis&apos;!$B$5)-(IF(&apos;Property Calculator&apos;!$B$11&lt;10,MAX(0,($AE86*(1+&apos;Property Calculator&apos;!$B$12)^&apos;Property Calculator&apos;!$B$11)-($AE86*(1+$AB$7))+&apos;Property Calculator&apos;!$B$11*AI86-(($AE86*(1+&apos;Property Calculator&apos;!$B$12)^&apos;Property Calculator&apos;!$B$11)*&apos;Exit Analysis&apos;!$B$5))*&apos;Property Calculator&apos;!$B$100,0))-(IF(OR(AG86&lt;=0,&apos;Property Calculator&apos;!$B$11&gt;=&apos;Property Calculator&apos;!$B$70),0,IFERROR(PV(&apos;Property Calculator&apos;!$B$65/12,&apos;Property Calculator&apos;!$B$70*12-&apos;Property Calculator&apos;!$B$11*12,-AJ86/12),0))),0))</f><v>210444.39824584662</v></c><c r="AV86" s="37"><f>IFERROR(XIRR(AK86:AU86,&apos;Return Details&apos;!$L$4:$L$14),&quot;—&quot;)</f><v>3.9602920413017287E-2</v></c><c r="AW86" s="106"><f>IF(AND(ISNUMBER(AV86),AV86&gt;=$B$37,AL86&gt;=$B$38,AH86&lt;=$B$39,AF86&gt;&apos;Property Calculator&apos;!$B$63),AE86,0)</f><v>0</v></c><c r="AX86" s="106"><f t="shared" si="4"/>&lt;v&gt;0&lt;/v&gt;&lt;/c&gt;&lt;/row&gt;&lt;row r=&quot;87&quot; spans=&quot;31:50&quot; x14ac:dyDescent=&quot;0.25&quot;&gt;&lt;c r=&quot;AE87&quot; s=&quot;106&quot;&gt;&lt;v&gt;470000&lt;/v&gt;&lt;/c&gt;&lt;c r=&quot;AF87&quot; s=&quot;106&quot;&gt;&lt;f t=&quot;shared&quot; si=&quot;2&quot;/&gt;&lt;v&gt;529329&lt;/v&gt;&lt;/c&gt;&lt;c r=&quot;AG87&quot; s=&quot;106&quot;&gt;&lt;f&gt;MAX(0,AF87-&apos;Property Calculator&apos;!$B$63)</f><v>449329</v></c><c r="AH87" s="37"><f t="shared" si="3"/>&lt;v&gt;0.95601914893617024&lt;/v&gt;&lt;/c&gt;&lt;c r=&quot;AI87&quot; s=&quot;106&quot;&gt;&lt;f&gt;($AE87*(1+$AB$7)*&apos;Property Calculator&apos;!$B$96+&apos;Property Calculator&apos;!$B$59)*&apos;Property Calculator&apos;!$B$98</f><v>8202.0640000000003</v></c><c r="AJ87" s="106"><f>IF(AG87&lt;=0,0,PMT(&apos;Property Calculator&apos;!$B$65/12,&apos;Property Calculator&apos;!$B$70*12,-AG87)*12)</f><v>24212.256063414156</v></c><c r="AK87" s="106"><f>-&apos;Property Calculator&apos;!$B$63</f><v>-80000</v></c><c r="AL87" s="106"><f>IF(1&gt;&apos;Property Calculator&apos;!$B$11,0,((&apos;Property Calculator&apos;!$B$82*(1+&apos;Property Calculator&apos;!$B$83)^0)-(&apos;Property Calculator&apos;!$B$93*(1+&apos;Property Calculator&apos;!$B$16)^0)-AJ87-&apos;Property Calculator&apos;!$B$100*((&apos;Property Calculator&apos;!$B$82*(1+&apos;Property Calculator&apos;!$B$83)^0)-(&apos;Property Calculator&apos;!$B$93*(1+&apos;Property Calculator&apos;!$B$16)^0)+(&apos;Property Calculator&apos;!$B$87*(1+&apos;Property Calculator&apos;!$B$16)^0)-(IF(AG87&lt;=0,0,IFERROR(-CUMIPMT(&apos;Property Calculator&apos;!$B$65/12,&apos;Property Calculator&apos;!$B$70*12,AG87,1,12,0),0)))-AI87-&apos;Property Calculator&apos;!$B$101-(IF(1=1,&apos;Property Calculator&apos;!$B$58,0))))+IF(1=&apos;Property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-3125.9850741498994</v></c><c r="AM87" s="106"><f>IF(2&gt;&apos;Property Calculator&apos;!$B$11,0,((&apos;Property Calculator&apos;!$B$82*(1+&apos;Property Calculator&apos;!$B$83)^1)-(&apos;Property Calculator&apos;!$B$93*(1+&apos;Property Calculator&apos;!$B$16)^1)-AJ87-&apos;Property Calculator&apos;!$B$100*((&apos;Property Calculator&apos;!$B$82*(1+&apos;Property Calculator&apos;!$B$83)^1)-(&apos;Property Calculator&apos;!$B$93*(1+&apos;Property Calculator&apos;!$B$16)^1)+(&apos;Property Calculator&apos;!$B$87*(1+&apos;Property Calculator&apos;!$B$16)^1)-(IF(AG87&lt;=0,0,IFERROR(-CUMIPMT(&apos;Property Calculator&apos;!$B$65/12,&apos;Property Calculator&apos;!$B$70*12,AG87,13,24,0),0)))-AI87-&apos;Property Calculator&apos;!$B$101-(IF(2=1,&apos;Property Calculator&apos;!$B$58,0))))+IF(2=&apos;Property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-9471.1534525692041</v></c><c r="AN87" s="106"><f>IF(3&gt;&apos;Property Calculator&apos;!$B$11,0,((&apos;Property Calculator&apos;!$B$82*(1+&apos;Property Calculator&apos;!$B$83)^2)-(&apos;Property Calculator&apos;!$B$93*(1+&apos;Property Calculator&apos;!$B$16)^2)-AJ87-&apos;Property Calculator&apos;!$B$100*((&apos;Property Calculator&apos;!$B$82*(1+&apos;Property Calculator&apos;!$B$83)^2)-(&apos;Property Calculator&apos;!$B$93*(1+&apos;Property Calculator&apos;!$B$16)^2)+(&apos;Property Calculator&apos;!$B$87*(1+&apos;Property Calculator&apos;!$B$16)^1)-(IF(AG87&lt;=0,0,IFERROR(-CUMIPMT(&apos;Property Calculator&apos;!$B$65/12,&apos;Property Calculator&apos;!$B$70*12,AG87,25,36,0),0)))-AI87-&apos;Property Calculator&apos;!$B$101-(IF(3=1,&apos;Property Calculator&apos;!$B$58,0))))+IF(3=&apos;Property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-9510.8842959245158</v></c><c r="AO87" s="106"><f>IF(4&gt;&apos;Property Calculator&apos;!$B$11,0,((&apos;Property Calculator&apos;!$B$82*(1+&apos;Property Calculator&apos;!$B$83)^3)-(&apos;Property Calculator&apos;!$B$93*(1+&apos;Property Calculator&apos;!$B$16)^3)-AJ87-&apos;Property Calculator&apos;!$B$100*((&apos;Property Calculator&apos;!$B$82*(1+&apos;Property Calculator&apos;!$B$83)^3)-(&apos;Property Calculator&apos;!$B$93*(1+&apos;Property Calculator&apos;!$B$16)^3)+(&apos;Property Calculator&apos;!$B$87*(1+&apos;Property Calculator&apos;!$B$16)^1)-(IF(AG87&lt;=0,0,IFERROR(-CUMIPMT(&apos;Property Calculator&apos;!$B$65/12,&apos;Property Calculator&apos;!$B$70*12,AG87,37,48,0),0)))-AI87-&apos;Property Calculator&apos;!$B$101-(IF(4=1,&apos;Property Calculator&apos;!$B$58,0))))+IF(4=&apos;Property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-9553.7137203033162</v></c><c r="AP87" s="106"><f>IF(5&gt;&apos;Property Calculator&apos;!$B$11,0,((&apos;Property Calculator&apos;!$B$82*(1+&apos;Property Calculator&apos;!$B$83)^4)-(&apos;Property Calculator&apos;!$B$93*(1+&apos;Property Calculator&apos;!$B$16)^4)-AJ87-&apos;Property Calculator&apos;!$B$100*((&apos;Property Calculator&apos;!$B$82*(1+&apos;Property Calculator&apos;!$B$83)^4)-(&apos;Property Calculator&apos;!$B$93*(1+&apos;Property Calculator&apos;!$B$16)^4)+(&apos;Property Calculator&apos;!$B$87*(1+&apos;Property Calculator&apos;!$B$16)^1)-(IF(AG87&lt;=0,0,IFERROR(-CUMIPMT(&apos;Property Calculator&apos;!$B$65/12,&apos;Property Calculator&apos;!$B$70*12,AG87,49,60,0),0)))-AI87-&apos;Property Calculator&apos;!$B$101-(IF(5=1,&apos;Property Calculator&apos;!$B$58,0))))+IF(5=&apos;Property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-9599.7832394253455</v></c><c r="AQ87" s="106"><f>IF(6&gt;&apos;Property Calculator&apos;!$B$11,0,((&apos;Property Calculator&apos;!$B$82*(1+&apos;Property Calculator&apos;!$B$83)^5)-(&apos;Property Calculator&apos;!$B$93*(1+&apos;Property Calculator&apos;!$B$16)^5)-AJ87-&apos;Property Calculator&apos;!$B$100*((&apos;Property Calculator&apos;!$B$82*(1+&apos;Property Calculator&apos;!$B$83)^5)-(&apos;Property Calculator&apos;!$B$93*(1+&apos;Property Calculator&apos;!$B$16)^5)+(&apos;Property Calculator&apos;!$B$87*(1+&apos;Property Calculator&apos;!$B$16)^1)-(IF(AG87&lt;=0,0,IFERROR(-CUMIPMT(&apos;Property Calculator&apos;!$B$65/12,&apos;Property Calculator&apos;!$B$70*12,AG87,61,72,0),0)))-AI87-&apos;Property Calculator&apos;!$B$101-(IF(6=1,&apos;Property Calculator&apos;!$B$58,0))))+IF(6=&apos;Property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-9649.2399662827011</v></c><c r="AR87" s="106"><f>IF(7&gt;&apos;Property Calculator&apos;!$B$11,0,((&apos;Property Calculator&apos;!$B$82*(1+&apos;Property Calculator&apos;!$B$83)^6)-(&apos;Property Calculator&apos;!$B$93*(1+&apos;Property Calculator&apos;!$B$16)^6)-AJ87-&apos;Property Calculator&apos;!$B$100*((&apos;Property Calculator&apos;!$B$82*(1+&apos;Property Calculator&apos;!$B$83)^6)-(&apos;Property Calculator&apos;!$B$93*(1+&apos;Property Calculator&apos;!$B$16)^6)+(&apos;Property Calculator&apos;!$B$87*(1+&apos;Property Calculator&apos;!$B$16)^1)-(IF(AG87&lt;=0,0,IFERROR(-CUMIPMT(&apos;Property Calculator&apos;!$B$65/12,&apos;Property Calculator&apos;!$B$70*12,AG87,73,84,0),0)))-AI87-&apos;Property Calculator&apos;!$B$101-(IF(7=1,&apos;Property Calculator&apos;!$B$58,0))))+IF(7=&apos;Property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-9702.2368221082943</v></c><c r="AS87" s="106"><f>IF(8&gt;&apos;Property Calculator&apos;!$B$11,0,((&apos;Property Calculator&apos;!$B$82*(1+&apos;Property Calculator&apos;!$B$83)^7)-(&apos;Property Calculator&apos;!$B$93*(1+&apos;Property Calculator&apos;!$B$16)^7)-AJ87-&apos;Property Calculator&apos;!$B$100*((&apos;Property Calculator&apos;!$B$82*(1+&apos;Property Calculator&apos;!$B$83)^7)-(&apos;Property Calculator&apos;!$B$93*(1+&apos;Property Calculator&apos;!$B$16)^7)+(&apos;Property Calculator&apos;!$B$87*(1+&apos;Property Calculator&apos;!$B$16)^1)-(IF(AG87&lt;=0,0,IFERROR(-CUMIPMT(&apos;Property Calculator&apos;!$B$65/12,&apos;Property Calculator&apos;!$B$70*12,AG87,85,96,0),0)))-AI87-&apos;Property Calculator&apos;!$B$101-(IF(8=1,&apos;Property Calculator&apos;!$B$58,0))))+IF(8=&apos;Property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-9758.9327529355578</v></c><c r="AT87" s="106"><f>IF(9&gt;&apos;Property Calculator&apos;!$B$11,0,((&apos;Property Calculator&apos;!$B$82*(1+&apos;Property Calculator&apos;!$B$83)^8)-(&apos;Property Calculator&apos;!$B$93*(1+&apos;Property Calculator&apos;!$B$16)^8)-AJ87-&apos;Property Calculator&apos;!$B$100*((&apos;Property Calculator&apos;!$B$82*(1+&apos;Property Calculator&apos;!$B$83)^8)-(&apos;Property Calculator&apos;!$B$93*(1+&apos;Property Calculator&apos;!$B$16)^8)+(&apos;Property Calculator&apos;!$B$87*(1+&apos;Property Calculator&apos;!$B$16)^1)-(IF(AG87&lt;=0,0,IFERROR(-CUMIPMT(&apos;Property Calculator&apos;!$B$65/12,&apos;Property Calculator&apos;!$B$70*12,AG87,97,108,0),0)))-AI87-&apos;Property Calculator&apos;!$B$101-(IF(9=1,&apos;Property Calculator&apos;!$B$58,0))))+IF(9=&apos;Property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-9819.4929540215307</v></c><c r="AU87" s="106"><f>IF(10&gt;&apos;Property Calculator&apos;!$B$11,0,((&apos;Property Calculator&apos;!$B$82*(1+&apos;Property Calculator&apos;!$B$83)^9)-(&apos;Property Calculator&apos;!$B$93*(1+&apos;Property Calculator&apos;!$B$16)^9)-AJ87-&apos;Property Calculator&apos;!$B$100*((&apos;Property Calculator&apos;!$B$82*(1+&apos;Property Calculator&apos;!$B$83)^9)-(&apos;Property Calculator&apos;!$B$93*(1+&apos;Property Calculator&apos;!$B$16)^9)+(&apos;Property Calculator&apos;!$B$87*(1+&apos;Property Calculator&apos;!$B$16)^1)-(IF(AG87&lt;=0,0,IFERROR(-CUMIPMT(&apos;Property Calculator&apos;!$B$65/12,&apos;Property Calculator&apos;!$B$70*12,AG87,109,120,0),0)))-AI87-&apos;Property Calculator&apos;!$B$101-(IF(10=1,&apos;Property Calculator&apos;!$B$58,0))))+IF(10=&apos;Property Calculator&apos;!$B$11,($AE87*(1+&apos;Property Calculator&apos;!$B$12)^&apos;Property Calculator&apos;!$B$11)-(($AE87*(1+&apos;Property Calculator&apos;!$B$12)^&apos;Property Calculator&apos;!$B$11)*&apos;Exit Analysis&apos;!$B$5)-(IF(&apos;Property Calculator&apos;!$B$11&lt;10,MAX(0,($AE87*(1+&apos;Property Calculator&apos;!$B$12)^&apos;Property Calculator&apos;!$B$11)-($AE87*(1+$AB$7))+&apos;Property Calculator&apos;!$B$11*AI87-(($AE87*(1+&apos;Property Calculator&apos;!$B$12)^&apos;Property Calculator&apos;!$B$11)*&apos;Exit Analysis&apos;!$B$5))*&apos;Property Calculator&apos;!$B$100,0))-(IF(OR(AG87&lt;=0,&apos;Property Calculator&apos;!$B$11&gt;=&apos;Property Calculator&apos;!$B$70),0,IFERROR(PV(&apos;Property Calculator&apos;!$B$65/12,&apos;Property Calculator&apos;!$B$70*12-&apos;Property Calculator&apos;!$B$11*12,-AJ87/12),0))),0))</f><v>213772.25522830081</v></c><c r="AV87" s="37"><f>IFERROR(XIRR(AK87:AU87,&apos;Return Details&apos;!$L$4:$L$14),&quot;—&quot;)</f><v>3.9150848984718337E-2</v></c><c r="AW87" s="106"><f>IF(AND(ISNUMBER(AV87),AV87&gt;=$B$37,AL87&gt;=$B$38,AH87&lt;=$B$39,AF87&gt;&apos;Property Calculator&apos;!$B$63),AE87,0)</f><v>0</v></c><c r="AX87" s="106"><f t="shared" si="4"/>&lt;v&gt;0&lt;/v&gt;&lt;/c&gt;&lt;/row&gt;&lt;row r=&quot;88&quot; spans=&quot;31:50&quot; x14ac:dyDescent=&quot;0.25&quot;&gt;&lt;c r=&quot;AE88&quot; s=&quot;106&quot;&gt;&lt;v&gt;480000&lt;/v&gt;&lt;/c&gt;&lt;c r=&quot;AF88&quot; s=&quot;106&quot;&gt;&lt;f t=&quot;shared&quot; si=&quot;2&quot;/&gt;&lt;v&gt;540236&lt;/v&gt;&lt;/c&gt;&lt;c r=&quot;AG88&quot; s=&quot;106&quot;&gt;&lt;f&gt;MAX(0,AF88-&apos;Property Calculator&apos;!$B$63)</f><v>460236</v></c><c r="AH88" s="37"><f t="shared" si="3"/>&lt;v&gt;0.95882500000000004&lt;/v&gt;&lt;/c&gt;&lt;c r=&quot;AI88&quot; s=&quot;106&quot;&gt;&lt;f&gt;($AE88*(1+$AB$7)*&apos;Property Calculator&apos;!$B$96+&apos;Property Calculator&apos;!$B$59)*&apos;Property Calculator&apos;!$B$98</f><v>8376.5760000000009</v></c><c r="AJ88" s="106"><f>IF(AG88&lt;=0,0,PMT(&apos;Property Calculator&apos;!$B$65/12,&apos;Property Calculator&apos;!$B$70*12,-AG88)*12)</f><v>24799.983712605856</v></c><c r="AK88" s="106"><f>-&apos;Property Calculator&apos;!$B$63</f><v>-80000</v></c><c r="AL88" s="106"><f>IF(1&gt;&apos;Property Calculator&apos;!$B$11,0,((&apos;Property Calculator&apos;!$B$82*(1+&apos;Property Calculator&apos;!$B$83)^0)-(&apos;Property Calculator&apos;!$B$93*(1+&apos;Property Calculator&apos;!$B$16)^0)-AJ88-&apos;Property Calculator&apos;!$B$100*((&apos;Property Calculator&apos;!$B$82*(1+&apos;Property Calculator&apos;!$B$83)^0)-(&apos;Property Calculator&apos;!$B$93*(1+&apos;Property Calculator&apos;!$B$16)^0)+(&apos;Property Calculator&apos;!$B$87*(1+&apos;Property Calculator&apos;!$B$16)^0)-(IF(AG88&lt;=0,0,IFERROR(-CUMIPMT(&apos;Property Calculator&apos;!$B$65/12,&apos;Property Calculator&apos;!$B$70*12,AG88,1,12,0),0)))-AI88-&apos;Property Calculator&apos;!$B$101-(IF(1=1,&apos;Property Calculator&apos;!$B$58,0))))+IF(1=&apos;Property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-3481.4861729789372</v></c><c r="AM88" s="106"><f>IF(2&gt;&apos;Property Calculator&apos;!$B$11,0,((&apos;Property Calculator&apos;!$B$82*(1+&apos;Property Calculator&apos;!$B$83)^1)-(&apos;Property Calculator&apos;!$B$93*(1+&apos;Property Calculator&apos;!$B$16)^1)-AJ88-&apos;Property Calculator&apos;!$B$100*((&apos;Property Calculator&apos;!$B$82*(1+&apos;Property Calculator&apos;!$B$83)^1)-(&apos;Property Calculator&apos;!$B$93*(1+&apos;Property Calculator&apos;!$B$16)^1)+(&apos;Property Calculator&apos;!$B$87*(1+&apos;Property Calculator&apos;!$B$16)^1)-(IF(AG88&lt;=0,0,IFERROR(-CUMIPMT(&apos;Property Calculator&apos;!$B$65/12,&apos;Property Calculator&apos;!$B$70*12,AG88,13,24,0),0)))-AI88-&apos;Property Calculator&apos;!$B$101-(IF(2=1,&apos;Property Calculator&apos;!$B$58,0))))+IF(2=&apos;Property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-9829.7813881379552</v></c><c r="AN88" s="106"><f>IF(3&gt;&apos;Property Calculator&apos;!$B$11,0,((&apos;Property Calculator&apos;!$B$82*(1+&apos;Property Calculator&apos;!$B$83)^2)-(&apos;Property Calculator&apos;!$B$93*(1+&apos;Property Calculator&apos;!$B$16)^2)-AJ88-&apos;Property Calculator&apos;!$B$100*((&apos;Property Calculator&apos;!$B$82*(1+&apos;Property Calculator&apos;!$B$83)^2)-(&apos;Property Calculator&apos;!$B$93*(1+&apos;Property Calculator&apos;!$B$16)^2)+(&apos;Property Calculator&apos;!$B$87*(1+&apos;Property Calculator&apos;!$B$16)^1)-(IF(AG88&lt;=0,0,IFERROR(-CUMIPMT(&apos;Property Calculator&apos;!$B$65/12,&apos;Property Calculator&apos;!$B$70*12,AG88,25,36,0),0)))-AI88-&apos;Property Calculator&apos;!$B$101-(IF(3=1,&apos;Property Calculator&apos;!$B$58,0))))+IF(3=&apos;Property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-9872.7502802881718</v></c><c r="AO88" s="106"><f>IF(4&gt;&apos;Property Calculator&apos;!$B$11,0,((&apos;Property Calculator&apos;!$B$82*(1+&apos;Property Calculator&apos;!$B$83)^3)-(&apos;Property Calculator&apos;!$B$93*(1+&apos;Property Calculator&apos;!$B$16)^3)-AJ88-&apos;Property Calculator&apos;!$B$100*((&apos;Property Calculator&apos;!$B$82*(1+&apos;Property Calculator&apos;!$B$83)^3)-(&apos;Property Calculator&apos;!$B$93*(1+&apos;Property Calculator&apos;!$B$16)^3)+(&apos;Property Calculator&apos;!$B$87*(1+&apos;Property Calculator&apos;!$B$16)^1)-(IF(AG88&lt;=0,0,IFERROR(-CUMIPMT(&apos;Property Calculator&apos;!$B$65/12,&apos;Property Calculator&apos;!$B$70*12,AG88,37,48,0),0)))-AI88-&apos;Property Calculator&apos;!$B$101-(IF(4=1,&apos;Property Calculator&apos;!$B$58,0))))+IF(4=&apos;Property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-9918.9329209910065</v></c><c r="AP88" s="106"><f>IF(5&gt;&apos;Property Calculator&apos;!$B$11,0,((&apos;Property Calculator&apos;!$B$82*(1+&apos;Property Calculator&apos;!$B$83)^4)-(&apos;Property Calculator&apos;!$B$93*(1+&apos;Property Calculator&apos;!$B$16)^4)-AJ88-&apos;Property Calculator&apos;!$B$100*((&apos;Property Calculator&apos;!$B$82*(1+&apos;Property Calculator&apos;!$B$83)^4)-(&apos;Property Calculator&apos;!$B$93*(1+&apos;Property Calculator&apos;!$B$16)^4)+(&apos;Property Calculator&apos;!$B$87*(1+&apos;Property Calculator&apos;!$B$16)^1)-(IF(AG88&lt;=0,0,IFERROR(-CUMIPMT(&apos;Property Calculator&apos;!$B$65/12,&apos;Property Calculator&apos;!$B$70*12,AG88,49,60,0),0)))-AI88-&apos;Property Calculator&apos;!$B$101-(IF(5=1,&apos;Property Calculator&apos;!$B$58,0))))+IF(5=&apos;Property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-9968.4749201242812</v></c><c r="AQ88" s="106"><f>IF(6&gt;&apos;Property Calculator&apos;!$B$11,0,((&apos;Property Calculator&apos;!$B$82*(1+&apos;Property Calculator&apos;!$B$83)^5)-(&apos;Property Calculator&apos;!$B$93*(1+&apos;Property Calculator&apos;!$B$16)^5)-AJ88-&apos;Property Calculator&apos;!$B$100*((&apos;Property Calculator&apos;!$B$82*(1+&apos;Property Calculator&apos;!$B$83)^5)-(&apos;Property Calculator&apos;!$B$93*(1+&apos;Property Calculator&apos;!$B$16)^5)+(&apos;Property Calculator&apos;!$B$87*(1+&apos;Property Calculator&apos;!$B$16)^1)-(IF(AG88&lt;=0,0,IFERROR(-CUMIPMT(&apos;Property Calculator&apos;!$B$65/12,&apos;Property Calculator&apos;!$B$70*12,AG88,61,72,0),0)))-AI88-&apos;Property Calculator&apos;!$B$101-(IF(6=1,&apos;Property Calculator&apos;!$B$58,0))))+IF(6=&apos;Property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-10021.527632526047</v></c><c r="AR88" s="106"><f>IF(7&gt;&apos;Property Calculator&apos;!$B$11,0,((&apos;Property Calculator&apos;!$B$82*(1+&apos;Property Calculator&apos;!$B$83)^6)-(&apos;Property Calculator&apos;!$B$93*(1+&apos;Property Calculator&apos;!$B$16)^6)-AJ88-&apos;Property Calculator&apos;!$B$100*((&apos;Property Calculator&apos;!$B$82*(1+&apos;Property Calculator&apos;!$B$83)^6)-(&apos;Property Calculator&apos;!$B$93*(1+&apos;Property Calculator&apos;!$B$16)^6)+(&apos;Property Calculator&apos;!$B$87*(1+&apos;Property Calculator&apos;!$B$16)^1)-(IF(AG88&lt;=0,0,IFERROR(-CUMIPMT(&apos;Property Calculator&apos;!$B$65/12,&apos;Property Calculator&apos;!$B$70*12,AG88,73,84,0),0)))-AI88-&apos;Property Calculator&apos;!$B$101-(IF(7=1,&apos;Property Calculator&apos;!$B$58,0))))+IF(7=&apos;Property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-10078.248372144706</v></c><c r="AS88" s="106"><f>IF(8&gt;&apos;Property Calculator&apos;!$B$11,0,((&apos;Property Calculator&apos;!$B$82*(1+&apos;Property Calculator&apos;!$B$83)^7)-(&apos;Property Calculator&apos;!$B$93*(1+&apos;Property Calculator&apos;!$B$16)^7)-AJ88-&apos;Property Calculator&apos;!$B$100*((&apos;Property Calculator&apos;!$B$82*(1+&apos;Property Calculator&apos;!$B$83)^7)-(&apos;Property Calculator&apos;!$B$93*(1+&apos;Property Calculator&apos;!$B$16)^7)+(&apos;Property Calculator&apos;!$B$87*(1+&apos;Property Calculator&apos;!$B$16)^1)-(IF(AG88&lt;=0,0,IFERROR(-CUMIPMT(&apos;Property Calculator&apos;!$B$65/12,&apos;Property Calculator&apos;!$B$70*12,AG88,85,96,0),0)))-AI88-&apos;Property Calculator&apos;!$B$101-(IF(8=1,&apos;Property Calculator&apos;!$B$58,0))))+IF(8=&apos;Property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-10138.800633964678</v></c><c r="AT88" s="106"><f>IF(9&gt;&apos;Property Calculator&apos;!$B$11,0,((&apos;Property Calculator&apos;!$B$82*(1+&apos;Property Calculator&apos;!$B$83)^8)-(&apos;Property Calculator&apos;!$B$93*(1+&apos;Property Calculator&apos;!$B$16)^8)-AJ88-&apos;Property Calculator&apos;!$B$100*((&apos;Property Calculator&apos;!$B$82*(1+&apos;Property Calculator&apos;!$B$83)^8)-(&apos;Property Calculator&apos;!$B$93*(1+&apos;Property Calculator&apos;!$B$16)^8)+(&apos;Property Calculator&apos;!$B$87*(1+&apos;Property Calculator&apos;!$B$16)^1)-(IF(AG88&lt;=0,0,IFERROR(-CUMIPMT(&apos;Property Calculator&apos;!$B$65/12,&apos;Property Calculator&apos;!$B$70*12,AG88,97,108,0),0)))-AI88-&apos;Property Calculator&apos;!$B$101-(IF(9=1,&apos;Property Calculator&apos;!$B$58,0))))+IF(9=&apos;Property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-10203.354323986321</v></c><c r="AU88" s="106"><f>IF(10&gt;&apos;Property Calculator&apos;!$B$11,0,((&apos;Property Calculator&apos;!$B$82*(1+&apos;Property Calculator&apos;!$B$83)^9)-(&apos;Property Calculator&apos;!$B$93*(1+&apos;Property Calculator&apos;!$B$16)^9)-AJ88-&apos;Property Calculator&apos;!$B$100*((&apos;Property Calculator&apos;!$B$82*(1+&apos;Property Calculator&apos;!$B$83)^9)-(&apos;Property Calculator&apos;!$B$93*(1+&apos;Property Calculator&apos;!$B$16)^9)+(&apos;Property Calculator&apos;!$B$87*(1+&apos;Property Calculator&apos;!$B$16)^1)-(IF(AG88&lt;=0,0,IFERROR(-CUMIPMT(&apos;Property Calculator&apos;!$B$65/12,&apos;Property Calculator&apos;!$B$70*12,AG88,109,120,0),0)))-AI88-&apos;Property Calculator&apos;!$B$101-(IF(10=1,&apos;Property Calculator&apos;!$B$58,0))))+IF(10=&apos;Property Calculator&apos;!$B$11,($AE88*(1+&apos;Property Calculator&apos;!$B$12)^&apos;Property Calculator&apos;!$B$11)-(($AE88*(1+&apos;Property Calculator&apos;!$B$12)^&apos;Property Calculator&apos;!$B$11)*&apos;Exit Analysis&apos;!$B$5)-(IF(&apos;Property Calculator&apos;!$B$11&lt;10,MAX(0,($AE88*(1+&apos;Property Calculator&apos;!$B$12)^&apos;Property Calculator&apos;!$B$11)-($AE88*(1+$AB$7))+&apos;Property Calculator&apos;!$B$11*AI88-(($AE88*(1+&apos;Property Calculator&apos;!$B$12)^&apos;Property Calculator&apos;!$B$11)*&apos;Exit Analysis&apos;!$B$5))*&apos;Property Calculator&apos;!$B$100,0))-(IF(OR(AG88&lt;=0,&apos;Property Calculator&apos;!$B$11&gt;=&apos;Property Calculator&apos;!$B$70),0,IFERROR(PV(&apos;Property Calculator&apos;!$B$65/12,&apos;Property Calculator&apos;!$B$70*12-&apos;Property Calculator&apos;!$B$11*12,-AJ88/12),0))),0))</f><v>217100.11221075512</v></c><c r="AV88" s="37"><f>IFERROR(XIRR(AK88:AU88,&apos;Return Details&apos;!$L$4:$L$14),&quot;—&quot;)</f><v>3.8708660006523135E-2</v></c><c r="AW88" s="106"><f>IF(AND(ISNUMBER(AV88),AV88&gt;=$B$37,AL88&gt;=$B$38,AH88&lt;=$B$39,AF88&gt;&apos;Property Calculator&apos;!$B$63),AE88,0)</f><v>0</v></c><c r="AX88" s="106"><f t="shared" si="4"/>&lt;v&gt;0&lt;/v&gt;&lt;/c&gt;&lt;/row&gt;&lt;row r=&quot;89&quot; spans=&quot;31:50&quot; x14ac:dyDescent=&quot;0.25&quot;&gt;&lt;c r=&quot;AE89&quot; s=&quot;106&quot;&gt;&lt;v&gt;490000&lt;/v&gt;&lt;/c&gt;&lt;c r=&quot;AF89&quot; s=&quot;106&quot;&gt;&lt;f t=&quot;shared&quot; si=&quot;2&quot;/&gt;&lt;v&gt;551143&lt;/v&gt;&lt;/c&gt;&lt;c r=&quot;AG89&quot; s=&quot;106&quot;&gt;&lt;f&gt;MAX(0,AF89-&apos;Property Calculator&apos;!$B$63)</f><v>471143</v></c><c r="AH89" s="37"><f t="shared" si="3"/>&lt;v&gt;0.96151632653061225&lt;/v&gt;&lt;/c&gt;&lt;c r=&quot;AI89&quot; s=&quot;106&quot;&gt;&lt;f&gt;($AE89*(1+$AB$7)*&apos;Property Calculator&apos;!$B$96+&apos;Property Calculator&apos;!$B$59)*&apos;Property Calculator&apos;!$B$98</f><v>8551.0879999999997</v></c><c r="AJ89" s="106"><f>IF(AG89&lt;=0,0,PMT(&apos;Property Calculator&apos;!$B$65/12,&apos;Property Calculator&apos;!$B$70*12,-AG89)*12)</f><v>25387.711361797559</v></c><c r="AK89" s="106"><f>-&apos;Property Calculator&apos;!$B$63</f><v>-80000</v></c><c r="AL89" s="106"><f>IF(1&gt;&apos;Property Calculator&apos;!$B$11,0,((&apos;Property Calculator&apos;!$B$82*(1+&apos;Property Calculator&apos;!$B$83)^0)-(&apos;Property Calculator&apos;!$B$93*(1+&apos;Property Calculator&apos;!$B$16)^0)-AJ89-&apos;Property Calculator&apos;!$B$100*((&apos;Property Calculator&apos;!$B$82*(1+&apos;Property Calculator&apos;!$B$83)^0)-(&apos;Property Calculator&apos;!$B$93*(1+&apos;Property Calculator&apos;!$B$16)^0)+(&apos;Property Calculator&apos;!$B$87*(1+&apos;Property Calculator&apos;!$B$16)^0)-(IF(AG89&lt;=0,0,IFERROR(-CUMIPMT(&apos;Property Calculator&apos;!$B$65/12,&apos;Property Calculator&apos;!$B$70*12,AG89,1,12,0),0)))-AI89-&apos;Property Calculator&apos;!$B$101-(IF(1=1,&apos;Property Calculator&apos;!$B$58,0))))+IF(1=&apos;Property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-3836.9872718079769</v></c><c r="AM89" s="106"><f>IF(2&gt;&apos;Property Calculator&apos;!$B$11,0,((&apos;Property Calculator&apos;!$B$82*(1+&apos;Property Calculator&apos;!$B$83)^1)-(&apos;Property Calculator&apos;!$B$93*(1+&apos;Property Calculator&apos;!$B$16)^1)-AJ89-&apos;Property Calculator&apos;!$B$100*((&apos;Property Calculator&apos;!$B$82*(1+&apos;Property Calculator&apos;!$B$83)^1)-(&apos;Property Calculator&apos;!$B$93*(1+&apos;Property Calculator&apos;!$B$16)^1)+(&apos;Property Calculator&apos;!$B$87*(1+&apos;Property Calculator&apos;!$B$16)^1)-(IF(AG89&lt;=0,0,IFERROR(-CUMIPMT(&apos;Property Calculator&apos;!$B$65/12,&apos;Property Calculator&apos;!$B$70*12,AG89,13,24,0),0)))-AI89-&apos;Property Calculator&apos;!$B$101-(IF(2=1,&apos;Property Calculator&apos;!$B$58,0))))+IF(2=&apos;Property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-10188.40932370671</v></c><c r="AN89" s="106"><f>IF(3&gt;&apos;Property Calculator&apos;!$B$11,0,((&apos;Property Calculator&apos;!$B$82*(1+&apos;Property Calculator&apos;!$B$83)^2)-(&apos;Property Calculator&apos;!$B$93*(1+&apos;Property Calculator&apos;!$B$16)^2)-AJ89-&apos;Property Calculator&apos;!$B$100*((&apos;Property Calculator&apos;!$B$82*(1+&apos;Property Calculator&apos;!$B$83)^2)-(&apos;Property Calculator&apos;!$B$93*(1+&apos;Property Calculator&apos;!$B$16)^2)+(&apos;Property Calculator&apos;!$B$87*(1+&apos;Property Calculator&apos;!$B$16)^1)-(IF(AG89&lt;=0,0,IFERROR(-CUMIPMT(&apos;Property Calculator&apos;!$B$65/12,&apos;Property Calculator&apos;!$B$70*12,AG89,25,36,0),0)))-AI89-&apos;Property Calculator&apos;!$B$101-(IF(3=1,&apos;Property Calculator&apos;!$B$58,0))))+IF(3=&apos;Property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-10234.616264651833</v></c><c r="AO89" s="106"><f>IF(4&gt;&apos;Property Calculator&apos;!$B$11,0,((&apos;Property Calculator&apos;!$B$82*(1+&apos;Property Calculator&apos;!$B$83)^3)-(&apos;Property Calculator&apos;!$B$93*(1+&apos;Property Calculator&apos;!$B$16)^3)-AJ89-&apos;Property Calculator&apos;!$B$100*((&apos;Property Calculator&apos;!$B$82*(1+&apos;Property Calculator&apos;!$B$83)^3)-(&apos;Property Calculator&apos;!$B$93*(1+&apos;Property Calculator&apos;!$B$16)^3)+(&apos;Property Calculator&apos;!$B$87*(1+&apos;Property Calculator&apos;!$B$16)^1)-(IF(AG89&lt;=0,0,IFERROR(-CUMIPMT(&apos;Property Calculator&apos;!$B$65/12,&apos;Property Calculator&apos;!$B$70*12,AG89,37,48,0),0)))-AI89-&apos;Property Calculator&apos;!$B$101-(IF(4=1,&apos;Property Calculator&apos;!$B$58,0))))+IF(4=&apos;Property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-10284.152121678697</v></c><c r="AP89" s="106"><f>IF(5&gt;&apos;Property Calculator&apos;!$B$11,0,((&apos;Property Calculator&apos;!$B$82*(1+&apos;Property Calculator&apos;!$B$83)^4)-(&apos;Property Calculator&apos;!$B$93*(1+&apos;Property Calculator&apos;!$B$16)^4)-AJ89-&apos;Property Calculator&apos;!$B$100*((&apos;Property Calculator&apos;!$B$82*(1+&apos;Property Calculator&apos;!$B$83)^4)-(&apos;Property Calculator&apos;!$B$93*(1+&apos;Property Calculator&apos;!$B$16)^4)+(&apos;Property Calculator&apos;!$B$87*(1+&apos;Property Calculator&apos;!$B$16)^1)-(IF(AG89&lt;=0,0,IFERROR(-CUMIPMT(&apos;Property Calculator&apos;!$B$65/12,&apos;Property Calculator&apos;!$B$70*12,AG89,49,60,0),0)))-AI89-&apos;Property Calculator&apos;!$B$101-(IF(5=1,&apos;Property Calculator&apos;!$B$58,0))))+IF(5=&apos;Property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-10337.166600823221</v></c><c r="AQ89" s="106"><f>IF(6&gt;&apos;Property Calculator&apos;!$B$11,0,((&apos;Property Calculator&apos;!$B$82*(1+&apos;Property Calculator&apos;!$B$83)^5)-(&apos;Property Calculator&apos;!$B$93*(1+&apos;Property Calculator&apos;!$B$16)^5)-AJ89-&apos;Property Calculator&apos;!$B$100*((&apos;Property Calculator&apos;!$B$82*(1+&apos;Property Calculator&apos;!$B$83)^5)-(&apos;Property Calculator&apos;!$B$93*(1+&apos;Property Calculator&apos;!$B$16)^5)+(&apos;Property Calculator&apos;!$B$87*(1+&apos;Property Calculator&apos;!$B$16)^1)-(IF(AG89&lt;=0,0,IFERROR(-CUMIPMT(&apos;Property Calculator&apos;!$B$65/12,&apos;Property Calculator&apos;!$B$70*12,AG89,61,72,0),0)))-AI89-&apos;Property Calculator&apos;!$B$101-(IF(6=1,&apos;Property Calculator&apos;!$B$58,0))))+IF(6=&apos;Property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-10393.815298769396</v></c><c r="AR89" s="106"><f>IF(7&gt;&apos;Property Calculator&apos;!$B$11,0,((&apos;Property Calculator&apos;!$B$82*(1+&apos;Property Calculator&apos;!$B$83)^6)-(&apos;Property Calculator&apos;!$B$93*(1+&apos;Property Calculator&apos;!$B$16)^6)-AJ89-&apos;Property Calculator&apos;!$B$100*((&apos;Property Calculator&apos;!$B$82*(1+&apos;Property Calculator&apos;!$B$83)^6)-(&apos;Property Calculator&apos;!$B$93*(1+&apos;Property Calculator&apos;!$B$16)^6)+(&apos;Property Calculator&apos;!$B$87*(1+&apos;Property Calculator&apos;!$B$16)^1)-(IF(AG89&lt;=0,0,IFERROR(-CUMIPMT(&apos;Property Calculator&apos;!$B$65/12,&apos;Property Calculator&apos;!$B$70*12,AG89,73,84,0),0)))-AI89-&apos;Property Calculator&apos;!$B$101-(IF(7=1,&apos;Property Calculator&apos;!$B$58,0))))+IF(7=&apos;Property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-10454.25992218112</v></c><c r="AS89" s="106"><f>IF(8&gt;&apos;Property Calculator&apos;!$B$11,0,((&apos;Property Calculator&apos;!$B$82*(1+&apos;Property Calculator&apos;!$B$83)^7)-(&apos;Property Calculator&apos;!$B$93*(1+&apos;Property Calculator&apos;!$B$16)^7)-AJ89-&apos;Property Calculator&apos;!$B$100*((&apos;Property Calculator&apos;!$B$82*(1+&apos;Property Calculator&apos;!$B$83)^7)-(&apos;Property Calculator&apos;!$B$93*(1+&apos;Property Calculator&apos;!$B$16)^7)+(&apos;Property Calculator&apos;!$B$87*(1+&apos;Property Calculator&apos;!$B$16)^1)-(IF(AG89&lt;=0,0,IFERROR(-CUMIPMT(&apos;Property Calculator&apos;!$B$65/12,&apos;Property Calculator&apos;!$B$70*12,AG89,85,96,0),0)))-AI89-&apos;Property Calculator&apos;!$B$101-(IF(8=1,&apos;Property Calculator&apos;!$B$58,0))))+IF(8=&apos;Property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-10518.668514993798</v></c><c r="AT89" s="106"><f>IF(9&gt;&apos;Property Calculator&apos;!$B$11,0,((&apos;Property Calculator&apos;!$B$82*(1+&apos;Property Calculator&apos;!$B$83)^8)-(&apos;Property Calculator&apos;!$B$93*(1+&apos;Property Calculator&apos;!$B$16)^8)-AJ89-&apos;Property Calculator&apos;!$B$100*((&apos;Property Calculator&apos;!$B$82*(1+&apos;Property Calculator&apos;!$B$83)^8)-(&apos;Property Calculator&apos;!$B$93*(1+&apos;Property Calculator&apos;!$B$16)^8)+(&apos;Property Calculator&apos;!$B$87*(1+&apos;Property Calculator&apos;!$B$16)^1)-(IF(AG89&lt;=0,0,IFERROR(-CUMIPMT(&apos;Property Calculator&apos;!$B$65/12,&apos;Property Calculator&apos;!$B$70*12,AG89,97,108,0),0)))-AI89-&apos;Property Calculator&apos;!$B$101-(IF(9=1,&apos;Property Calculator&apos;!$B$58,0))))+IF(9=&apos;Property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-10587.215693951111</v></c><c r="AU89" s="106"><f>IF(10&gt;&apos;Property Calculator&apos;!$B$11,0,((&apos;Property Calculator&apos;!$B$82*(1+&apos;Property Calculator&apos;!$B$83)^9)-(&apos;Property Calculator&apos;!$B$93*(1+&apos;Property Calculator&apos;!$B$16)^9)-AJ89-&apos;Property Calculator&apos;!$B$100*((&apos;Property Calculator&apos;!$B$82*(1+&apos;Property Calculator&apos;!$B$83)^9)-(&apos;Property Calculator&apos;!$B$93*(1+&apos;Property Calculator&apos;!$B$16)^9)+(&apos;Property Calculator&apos;!$B$87*(1+&apos;Property Calculator&apos;!$B$16)^1)-(IF(AG89&lt;=0,0,IFERROR(-CUMIPMT(&apos;Property Calculator&apos;!$B$65/12,&apos;Property Calculator&apos;!$B$70*12,AG89,109,120,0),0)))-AI89-&apos;Property Calculator&apos;!$B$101-(IF(10=1,&apos;Property Calculator&apos;!$B$58,0))))+IF(10=&apos;Property Calculator&apos;!$B$11,($AE89*(1+&apos;Property Calculator&apos;!$B$12)^&apos;Property Calculator&apos;!$B$11)-(($AE89*(1+&apos;Property Calculator&apos;!$B$12)^&apos;Property Calculator&apos;!$B$11)*&apos;Exit Analysis&apos;!$B$5)-(IF(&apos;Property Calculator&apos;!$B$11&lt;10,MAX(0,($AE89*(1+&apos;Property Calculator&apos;!$B$12)^&apos;Property Calculator&apos;!$B$11)-($AE89*(1+$AB$7))+&apos;Property Calculator&apos;!$B$11*AI89-(($AE89*(1+&apos;Property Calculator&apos;!$B$12)^&apos;Property Calculator&apos;!$B$11)*&apos;Exit Analysis&apos;!$B$5))*&apos;Property Calculator&apos;!$B$100,0))-(IF(OR(AG89&lt;=0,&apos;Property Calculator&apos;!$B$11&gt;=&apos;Property Calculator&apos;!$B$70),0,IFERROR(PV(&apos;Property Calculator&apos;!$B$65/12,&apos;Property Calculator&apos;!$B$70*12-&apos;Property Calculator&apos;!$B$11*12,-AJ89/12),0))),0))</f><v>220427.96919320937</v></c><c r="AV89" s="37"><f>IFERROR(XIRR(AK89:AU89,&apos;Return Details&apos;!$L$4:$L$14),&quot;—&quot;)</f><v>3.8276049494743336E-2</v></c><c r="AW89" s="106"><f>IF(AND(ISNUMBER(AV89),AV89&gt;=$B$37,AL89&gt;=$B$38,AH89&lt;=$B$39,AF89&gt;&apos;Property Calculator&apos;!$B$63),AE89,0)</f><v>0</v></c><c r="AX89" s="106"><f t="shared" si="4"/>&lt;v&gt;0&lt;/v&gt;&lt;/c&gt;&lt;/row&gt;&lt;row r=&quot;90&quot; spans=&quot;31:50&quot; x14ac:dyDescent=&quot;0.25&quot;&gt;&lt;c r=&quot;AE90&quot; s=&quot;106&quot;&gt;&lt;v&gt;500000&lt;/v&gt;&lt;/c&gt;&lt;c r=&quot;AF90&quot; s=&quot;106&quot;&gt;&lt;f t=&quot;shared&quot; si=&quot;2&quot;/&gt;&lt;v&gt;562050&lt;/v&gt;&lt;/c&gt;&lt;c r=&quot;AG90&quot; s=&quot;106&quot;&gt;&lt;f&gt;MAX(0,AF90-&apos;Property Calculator&apos;!$B$63)</f><v>482050</v></c><c r="AH90" s="37"><f t="shared" si="3"/>&lt;v&gt;0.96409999999999996&lt;/v&gt;&lt;/c&gt;&lt;c r=&quot;AI90&quot; s=&quot;106&quot;&gt;&lt;f&gt;($AE90*(1+$AB$7)*&apos;Property Calculator&apos;!$B$96+&apos;Property Calculator&apos;!$B$59)*&apos;Property Calculator&apos;!$B$98</f><v>8725.6</v></c><c r="AJ90" s="106"><f>IF(AG90&lt;=0,0,PMT(&apos;Property Calculator&apos;!$B$65/12,&apos;Property Calculator&apos;!$B$70*12,-AG90)*12)</f><v>25975.439010989263</v></c><c r="AK90" s="106"><f>-&apos;Property Calculator&apos;!$B$63</f><v>-80000</v></c><c r="AL90" s="106"><f>IF(1&gt;&apos;Property Calculator&apos;!$B$11,0,((&apos;Property Calculator&apos;!$B$82*(1+&apos;Property Calculator&apos;!$B$83)^0)-(&apos;Property Calculator&apos;!$B$93*(1+&apos;Property Calculator&apos;!$B$16)^0)-AJ90-&apos;Property Calculator&apos;!$B$100*((&apos;Property Calculator&apos;!$B$82*(1+&apos;Property Calculator&apos;!$B$83)^0)-(&apos;Property Calculator&apos;!$B$93*(1+&apos;Property Calculator&apos;!$B$16)^0)+(&apos;Property Calculator&apos;!$B$87*(1+&apos;Property Calculator&apos;!$B$16)^0)-(IF(AG90&lt;=0,0,IFERROR(-CUMIPMT(&apos;Property Calculator&apos;!$B$65/12,&apos;Property Calculator&apos;!$B$70*12,AG90,1,12,0),0)))-AI90-&apos;Property Calculator&apos;!$B$101-(IF(1=1,&apos;Property Calculator&apos;!$B$58,0))))+IF(1=&apos;Property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-4192.4883706370165</v></c><c r="AM90" s="106"><f>IF(2&gt;&apos;Property Calculator&apos;!$B$11,0,((&apos;Property Calculator&apos;!$B$82*(1+&apos;Property Calculator&apos;!$B$83)^1)-(&apos;Property Calculator&apos;!$B$93*(1+&apos;Property Calculator&apos;!$B$16)^1)-AJ90-&apos;Property Calculator&apos;!$B$100*((&apos;Property Calculator&apos;!$B$82*(1+&apos;Property Calculator&apos;!$B$83)^1)-(&apos;Property Calculator&apos;!$B$93*(1+&apos;Property Calculator&apos;!$B$16)^1)+(&apos;Property Calculator&apos;!$B$87*(1+&apos;Property Calculator&apos;!$B$16)^1)-(IF(AG90&lt;=0,0,IFERROR(-CUMIPMT(&apos;Property Calculator&apos;!$B$65/12,&apos;Property Calculator&apos;!$B$70*12,AG90,13,24,0),0)))-AI90-&apos;Property Calculator&apos;!$B$101-(IF(2=1,&apos;Property Calculator&apos;!$B$58,0))))+IF(2=&apos;Property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-10547.037259275465</v></c><c r="AN90" s="106"><f>IF(3&gt;&apos;Property Calculator&apos;!$B$11,0,((&apos;Property Calculator&apos;!$B$82*(1+&apos;Property Calculator&apos;!$B$83)^2)-(&apos;Property Calculator&apos;!$B$93*(1+&apos;Property Calculator&apos;!$B$16)^2)-AJ90-&apos;Property Calculator&apos;!$B$100*((&apos;Property Calculator&apos;!$B$82*(1+&apos;Property Calculator&apos;!$B$83)^2)-(&apos;Property Calculator&apos;!$B$93*(1+&apos;Property Calculator&apos;!$B$16)^2)+(&apos;Property Calculator&apos;!$B$87*(1+&apos;Property Calculator&apos;!$B$16)^1)-(IF(AG90&lt;=0,0,IFERROR(-CUMIPMT(&apos;Property Calculator&apos;!$B$65/12,&apos;Property Calculator&apos;!$B$70*12,AG90,25,36,0),0)))-AI90-&apos;Property Calculator&apos;!$B$101-(IF(3=1,&apos;Property Calculator&apos;!$B$58,0))))+IF(3=&apos;Property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-10596.482249015493</v></c><c r="AO90" s="106"><f>IF(4&gt;&apos;Property Calculator&apos;!$B$11,0,((&apos;Property Calculator&apos;!$B$82*(1+&apos;Property Calculator&apos;!$B$83)^3)-(&apos;Property Calculator&apos;!$B$93*(1+&apos;Property Calculator&apos;!$B$16)^3)-AJ90-&apos;Property Calculator&apos;!$B$100*((&apos;Property Calculator&apos;!$B$82*(1+&apos;Property Calculator&apos;!$B$83)^3)-(&apos;Property Calculator&apos;!$B$93*(1+&apos;Property Calculator&apos;!$B$16)^3)+(&apos;Property Calculator&apos;!$B$87*(1+&apos;Property Calculator&apos;!$B$16)^1)-(IF(AG90&lt;=0,0,IFERROR(-CUMIPMT(&apos;Property Calculator&apos;!$B$65/12,&apos;Property Calculator&apos;!$B$70*12,AG90,37,48,0),0)))-AI90-&apos;Property Calculator&apos;!$B$101-(IF(4=1,&apos;Property Calculator&apos;!$B$58,0))))+IF(4=&apos;Property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-10649.371322366389</v></c><c r="AP90" s="106"><f>IF(5&gt;&apos;Property Calculator&apos;!$B$11,0,((&apos;Property Calculator&apos;!$B$82*(1+&apos;Property Calculator&apos;!$B$83)^4)-(&apos;Property Calculator&apos;!$B$93*(1+&apos;Property Calculator&apos;!$B$16)^4)-AJ90-&apos;Property Calculator&apos;!$B$100*((&apos;Property Calculator&apos;!$B$82*(1+&apos;Property Calculator&apos;!$B$83)^4)-(&apos;Property Calculator&apos;!$B$93*(1+&apos;Property Calculator&apos;!$B$16)^4)+(&apos;Property Calculator&apos;!$B$87*(1+&apos;Property Calculator&apos;!$B$16)^1)-(IF(AG90&lt;=0,0,IFERROR(-CUMIPMT(&apos;Property Calculator&apos;!$B$65/12,&apos;Property Calculator&apos;!$B$70*12,AG90,49,60,0),0)))-AI90-&apos;Property Calculator&apos;!$B$101-(IF(5=1,&apos;Property Calculator&apos;!$B$58,0))))+IF(5=&apos;Property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-10705.858281522156</v></c><c r="AQ90" s="106"><f>IF(6&gt;&apos;Property Calculator&apos;!$B$11,0,((&apos;Property Calculator&apos;!$B$82*(1+&apos;Property Calculator&apos;!$B$83)^5)-(&apos;Property Calculator&apos;!$B$93*(1+&apos;Property Calculator&apos;!$B$16)^5)-AJ90-&apos;Property Calculator&apos;!$B$100*((&apos;Property Calculator&apos;!$B$82*(1+&apos;Property Calculator&apos;!$B$83)^5)-(&apos;Property Calculator&apos;!$B$93*(1+&apos;Property Calculator&apos;!$B$16)^5)+(&apos;Property Calculator&apos;!$B$87*(1+&apos;Property Calculator&apos;!$B$16)^1)-(IF(AG90&lt;=0,0,IFERROR(-CUMIPMT(&apos;Property Calculator&apos;!$B$65/12,&apos;Property Calculator&apos;!$B$70*12,AG90,61,72,0),0)))-AI90-&apos;Property Calculator&apos;!$B$101-(IF(6=1,&apos;Property Calculator&apos;!$B$58,0))))+IF(6=&apos;Property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-10766.102965012742</v></c><c r="AR90" s="106"><f>IF(7&gt;&apos;Property Calculator&apos;!$B$11,0,((&apos;Property Calculator&apos;!$B$82*(1+&apos;Property Calculator&apos;!$B$83)^6)-(&apos;Property Calculator&apos;!$B$93*(1+&apos;Property Calculator&apos;!$B$16)^6)-AJ90-&apos;Property Calculator&apos;!$B$100*((&apos;Property Calculator&apos;!$B$82*(1+&apos;Property Calculator&apos;!$B$83)^6)-(&apos;Property Calculator&apos;!$B$93*(1+&apos;Property Calculator&apos;!$B$16)^6)+(&apos;Property Calculator&apos;!$B$87*(1+&apos;Property Calculator&apos;!$B$16)^1)-(IF(AG90&lt;=0,0,IFERROR(-CUMIPMT(&apos;Property Calculator&apos;!$B$65/12,&apos;Property Calculator&apos;!$B$70*12,AG90,73,84,0),0)))-AI90-&apos;Property Calculator&apos;!$B$101-(IF(7=1,&apos;Property Calculator&apos;!$B$58,0))))+IF(7=&apos;Property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-10830.271472217533</v></c><c r="AS90" s="106"><f>IF(8&gt;&apos;Property Calculator&apos;!$B$11,0,((&apos;Property Calculator&apos;!$B$82*(1+&apos;Property Calculator&apos;!$B$83)^7)-(&apos;Property Calculator&apos;!$B$93*(1+&apos;Property Calculator&apos;!$B$16)^7)-AJ90-&apos;Property Calculator&apos;!$B$100*((&apos;Property Calculator&apos;!$B$82*(1+&apos;Property Calculator&apos;!$B$83)^7)-(&apos;Property Calculator&apos;!$B$93*(1+&apos;Property Calculator&apos;!$B$16)^7)+(&apos;Property Calculator&apos;!$B$87*(1+&apos;Property Calculator&apos;!$B$16)^1)-(IF(AG90&lt;=0,0,IFERROR(-CUMIPMT(&apos;Property Calculator&apos;!$B$65/12,&apos;Property Calculator&apos;!$B$70*12,AG90,85,96,0),0)))-AI90-&apos;Property Calculator&apos;!$B$101-(IF(8=1,&apos;Property Calculator&apos;!$B$58,0))))+IF(8=&apos;Property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-10898.536396022919</v></c><c r="AT90" s="106"><f>IF(9&gt;&apos;Property Calculator&apos;!$B$11,0,((&apos;Property Calculator&apos;!$B$82*(1+&apos;Property Calculator&apos;!$B$83)^8)-(&apos;Property Calculator&apos;!$B$93*(1+&apos;Property Calculator&apos;!$B$16)^8)-AJ90-&apos;Property Calculator&apos;!$B$100*((&apos;Property Calculator&apos;!$B$82*(1+&apos;Property Calculator&apos;!$B$83)^8)-(&apos;Property Calculator&apos;!$B$93*(1+&apos;Property Calculator&apos;!$B$16)^8)+(&apos;Property Calculator&apos;!$B$87*(1+&apos;Property Calculator&apos;!$B$16)^1)-(IF(AG90&lt;=0,0,IFERROR(-CUMIPMT(&apos;Property Calculator&apos;!$B$65/12,&apos;Property Calculator&apos;!$B$70*12,AG90,97,108,0),0)))-AI90-&apos;Property Calculator&apos;!$B$101-(IF(9=1,&apos;Property Calculator&apos;!$B$58,0))))+IF(9=&apos;Property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-10971.077063915904</v></c><c r="AU90" s="106"><f>IF(10&gt;&apos;Property Calculator&apos;!$B$11,0,((&apos;Property Calculator&apos;!$B$82*(1+&apos;Property Calculator&apos;!$B$83)^9)-(&apos;Property Calculator&apos;!$B$93*(1+&apos;Property Calculator&apos;!$B$16)^9)-AJ90-&apos;Property Calculator&apos;!$B$100*((&apos;Property Calculator&apos;!$B$82*(1+&apos;Property Calculator&apos;!$B$83)^9)-(&apos;Property Calculator&apos;!$B$93*(1+&apos;Property Calculator&apos;!$B$16)^9)+(&apos;Property Calculator&apos;!$B$87*(1+&apos;Property Calculator&apos;!$B$16)^1)-(IF(AG90&lt;=0,0,IFERROR(-CUMIPMT(&apos;Property Calculator&apos;!$B$65/12,&apos;Property Calculator&apos;!$B$70*12,AG90,109,120,0),0)))-AI90-&apos;Property Calculator&apos;!$B$101-(IF(10=1,&apos;Property Calculator&apos;!$B$58,0))))+IF(10=&apos;Property Calculator&apos;!$B$11,($AE90*(1+&apos;Property Calculator&apos;!$B$12)^&apos;Property Calculator&apos;!$B$11)-(($AE90*(1+&apos;Property Calculator&apos;!$B$12)^&apos;Property Calculator&apos;!$B$11)*&apos;Exit Analysis&apos;!$B$5)-(IF(&apos;Property Calculator&apos;!$B$11&lt;10,MAX(0,($AE90*(1+&apos;Property Calculator&apos;!$B$12)^&apos;Property Calculator&apos;!$B$11)-($AE90*(1+$AB$7))+&apos;Property Calculator&apos;!$B$11*AI90-(($AE90*(1+&apos;Property Calculator&apos;!$B$12)^&apos;Property Calculator&apos;!$B$11)*&apos;Exit Analysis&apos;!$B$5))*&apos;Property Calculator&apos;!$B$100,0))-(IF(OR(AG90&lt;=0,&apos;Property Calculator&apos;!$B$11&gt;=&apos;Property Calculator&apos;!$B$70),0,IFERROR(PV(&apos;Property Calculator&apos;!$B$65/12,&apos;Property Calculator&apos;!$B$70*12-&apos;Property Calculator&apos;!$B$11*12,-AJ90/12),0))),0))</f><v>223755.82617566359</v></c><c r="AV90" s="37"><f>IFERROR(XIRR(AK90:AU90,&apos;Return Details&apos;!$L$4:$L$14),&quot;—&quot;)</f><v>3.7852719426155104E-2</v></c><c r="AW90" s="106"><f>IF(AND(ISNUMBER(AV90),AV90&gt;=$B$37,AL90&gt;=$B$38,AH90&lt;=$B$39,AF90&gt;&apos;Property Calculator&apos;!$B$63),AE90,0)</f><v>0</v></c><c r="AX90" s="106"><f>IF(AW90&gt;0,AE90,0)</f><v>0</v></c></row></sheetData><mergeCells count="11"><mergeCell ref="A36:G36"/><mergeCell ref="A41:G41"/><mergeCell ref="A1:G1"/><mergeCell ref="A24:G24"/><mergeCell ref="A2:G2"/><mergeCell ref="A11:G11"/><mergeCell ref="A4:G4"/><mergeCell ref="A14:G14"/><mergeCell ref="A17:G17"/><mergeCell ref="A19:G19"/><mergeCell ref="A34:G34"/></mergeCells><pageMargins left="0.7" right="0.7" top="0.75" bottom="0.75" header="0.3" footer="0.3"/></worksheet>
</file>

<file path=xl/worksheets/sheet10.xml><?xml version="1.0" encoding="UTF-8" standalone="yes"?>
<worksheet xmlns="http://schemas.openxmlformats.org/spreadsheetml/2006/main" xmlns:r="http://schemas.openxmlformats.org/officeDocument/2006/relationships" xmlns:mc="http://schemas.openxmlformats.org/markup-compatibility/2006" mc:Ignorable="x14ac xr xr2 xr3" xmlns:x14ac="http://schemas.microsoft.com/office/spreadsheetml/2009/9/ac" xmlns:xr="http://schemas.microsoft.com/office/spreadsheetml/2014/revision" xmlns:xr2="http://schemas.microsoft.com/office/spreadsheetml/2015/revision2" xmlns:xr3="http://schemas.microsoft.com/office/spreadsheetml/2016/revision3" xr:uid="{00000000-0001-0000-0600-000000000000}"><sheetPr><tabColor rgb="FFB4C7DC"/></sheetPr><dimension ref="A1:AG31"/><sheetViews><sheetView showGridLines="0" topLeftCell="A15" workbookViewId="0"><selection activeCell="J17" sqref="J17"/></sheetView></sheetViews><sheetFormatPr baseColWidth="10" defaultColWidth="8.7109375" defaultRowHeight="15" x14ac:dyDescent="0.25"/><cols><col min="1" max="1" width="44.42578125" style="70" customWidth="1"/><col min="2" max="31" width="11" style="70" customWidth="1"/></cols><sheetData><row r="1" spans="1:33" ht="30" customHeight="1" x14ac:dyDescent="0.25"><c r="A1" s="264" t="s"><v>290</v></c><c r="B1" s="262"/><c r="C1" s="262"/><c r="D1" s="262"/><c r="E1" s="262"/><c r="F1" s="262"/><c r="G1" s="262"/><c r="H1" s="262"/><c r="I1" s="262"/><c r="J1" s="262"/><c r="K1" s="262"/><c r="AG1" s="106"><f>-&apos;Property Calculator&apos;!$B$63</f><v>-80000</v></c></row><row r="2" spans="1:33" ht="15" customHeight="1" x14ac:dyDescent="0.25"><c r="A2" s="274" t="s"><v>291</v></c><c r="B2" s="262"/><c r="C2" s="262"/><c r="D2" s="262"/><c r="E2" s="262"/><c r="F2" s="262"/><c r="G2" s="262"/><c r="H2" s="262"/><c r="I2" s="262"/><c r="J2" s="262"/><c r="K2" s="262"/><c r="AG2" s="106"><f>IF(1&gt;&apos;Property Calculator&apos;!$B$11,0,&apos;Return Details&apos;!G5/(1+$B$3)^1)</f><v>1112.2225480961522</v></c></row><row r="3" spans="1:33" ht="15" customHeight="1" x14ac:dyDescent="0.25"><c r="A3" s="2" t="s"><v>292</v></c><c r="B3" s="121"><f>&apos;Property Calculator&apos;!B16</f><v>2.5000000000000001E-2</v></c><c r="E3" s="37"/><c r="AG3" s="106"><f>IF(2&gt;&apos;Property Calculator&apos;!$B$11,0,&apos;Return Details&apos;!G6/(1+$B$3)^2)</f><v>-4918.6134212912975</v></c></row><row r="4" spans="1:33" ht="15" customHeight="1" x14ac:dyDescent="0.25"><c r="AG4" s="106"><f>IF(3&gt;&apos;Property Calculator&apos;!$B$11,0,&apos;Return Details&apos;!G7/(1+$B$3)^3)</f><v>-7492.3973672447983</v></c></row><row r="5" spans="1:33" ht="15" customHeight="1" x14ac:dyDescent="0.25"><c r="A5" s="267" t="s"><v>293</v></c><c r="B5" s="262"/><c r="C5" s="262"/><c r="D5" s="262"/><c r="E5" s="262"/><c r="F5" s="262"/><c r="G5" s="262"/><c r="H5" s="262"/><c r="I5" s="262"/><c r="J5" s="262"/><c r="K5" s="262"/><c r="AG5" s="106"><f>IF(4&gt;&apos;Property Calculator&apos;!$B$11,0,&apos;Return Details&apos;!G8/(1+$B$3)^4)</f><v>-4684.7462608658843</v></c></row><row r="6" spans="1:33" ht="15" customHeight="1" x14ac:dyDescent="0.25"><c r="A6" s="65" t="s"><v>125</v></c><c r="B6" s="50" t="s"><v>126</v></c><c r="C6" s="50" t="s"><v>127</v></c><c r="D6" s="50" t="s"><v>128</v></c><c r="E6" s="50" t="s"><v>129</v></c><c r="F6" s="50" t="s"><v>130</v></c><c r="G6" s="50" t="s"><v>131</v></c><c r="H6" s="50" t="s"><v>132</v></c><c r="I6" s="50" t="s"><v>133</v></c><c r="J6" s="50" t="s"><v>134</v></c><c r="K6" s="50" t="s"><v>135</v></c><c r="L6" s="50" t="s"><v>136</v></c><c r="M6" s="50" t="s"><v>137</v></c><c r="N6" s="50" t="s"><v>138</v></c><c r="O6" s="50" t="s"><v>139</v></c><c r="P6" s="50" t="s"><v>140</v></c><c r="Q6" s="50" t="s"><v>141</v></c><c r="R6" s="50" t="s"><v>142</v></c><c r="S6" s="50" t="s"><v>143</v></c><c r="T6" s="50" t="s"><v>144</v></c><c r="U6" s="50" t="s"><v>145</v></c><c r="V6" s="50" t="s"><v>146</v></c><c r="W6" s="50" t="s"><v>147</v></c><c r="X6" s="50" t="s"><v>148</v></c><c r="Y6" s="50" t="s"><v>149</v></c><c r="Z6" s="50" t="s"><v>150</v></c><c r="AA6" s="142" t="s"><v>151</v></c><c r="AB6" s="50" t="s"><v>152</v></c><c r="AC6" s="50" t="s"><v>153</v></c><c r="AD6" s="50" t="s"><v>154</v></c><c r="AE6" s="50" t="s"><v>155</v></c><c r="AG6" s="106"><f>IF(5&gt;&apos;Property Calculator&apos;!$B$11,0,&apos;Return Details&apos;!G9/(1+$B$3)^5)</f><v>-5679.1907622994013</v></c></row><row r="7" spans="1:33" ht="15" customHeight="1" x14ac:dyDescent="0.25"><c r="A7" s="2" t="s"><v>294</v></c><c r="B7" s="122"><f>&apos;Property Calculator&apos;!B112</f><v>1140.028111798556</v></c><c r="C7" s="122"><f>&apos;Property Calculator&apos;!C112</f><v>-5167.6182257441687</v></c><c r="D7" s="122"><f>&apos;Property Calculator&apos;!D112</f><v>-8068.4924835606043</v></c><c r="E7" s="122"><f>&apos;Property Calculator&apos;!E112</f><v>-5171.0833120510306</v></c><c r="F7" s="122"><f>&apos;Property Calculator&apos;!F112</f><v>-6425.4830710381102</v></c><c r="G7" s="122"><f>&apos;Property Calculator&apos;!G112</f><v>-5181.787971362528</v></c><c r="H7" s="122"><f>&apos;Property Calculator&apos;!H112</f><v>-5190.0982216713564</v></c><c r="I7" s="122"><f>&apos;Property Calculator&apos;!I112</f><v>-5200.5181805861175</v></c><c r="J7" s="122"><f>&apos;Property Calculator&apos;!J112</f><v>-5213.1565144440528</v></c><c r="K7" s="122"><f>&apos;Property Calculator&apos;!K112</f><v>-5228.1263608131194</v></c><c r="L7" s="122"><f>&apos;Property Calculator&apos;!L112</f><v>-5245.5454979883343</v></c><c r="M7" s="122"><f>&apos;Property Calculator&apos;!M112</f><v>-5265.5365206845136</v></c><c r="N7" s="122"><f>&apos;Property Calculator&apos;!N112</f><v>-5288.2270221481149</v></c><c r="O7" s="122"><f>&apos;Property Calculator&apos;!O112</f><v>-5313.7497829188242</v></c><c r="P7" s="122"><f>&apos;Property Calculator&apos;!P112</f><v>-5342.2429664797774</v></c><c r="Q7" s="122"><f>&apos;Property Calculator&apos;!Q112</f><v>-5373.8503220437924</v></c><c r="R7" s="122"><f>&apos;Property Calculator&apos;!R112</f><v>-5408.7213947318287</v></c><c r="S7" s="122"><f>&apos;Property Calculator&apos;!S112</f><v>-5447.0117434090189</v></c><c r="T7" s="122"><f>&apos;Property Calculator&apos;!T112</f><v>-5488.8831664530608</v></c><c r="U7" s="122"><f>&apos;Property Calculator&apos;!U112</f><v>-5534.5039357395744</v></c><c r="V7" s="122"><f>&apos;Property Calculator&apos;!V112</f><v>-5584.0490391391404</v></c><c r="W7" s="122"><f>&apos;Property Calculator&apos;!W112</f><v>-5637.7004318312538</v></c><c r="X7" s="122"><f>&apos;Property Calculator&apos;!X112</f><v>-5695.6472967513091</v></c><c r="Y7" s="122"><f>&apos;Property Calculator&apos;!Y112</f><v>-5758.0863144979867</v></c><c r="Z7" s="122"><f>&apos;Property Calculator&apos;!Z112</f><v>-5825.2219430400237</v></c><c r="AA7" s="143"><f>&apos;Property Calculator&apos;!AA112</f><v>-5897.266707573539</v></c><c r="AB7" s="122"><f>&apos;Property Calculator&apos;!AB112</f><v>-5974.4415008934429</v></c><c r="AC7" s="122"><f>&apos;Property Calculator&apos;!AC112</f><v>-6056.9758946555412</v></c><c r="AD7" s="122"><f>&apos;Property Calculator&apos;!AD112</f><v>-6145.1084619192534</v></c><c r="AE7" s="122"><f>&apos;Property Calculator&apos;!AE112</f><v>-6239.0871113746898</v></c><c r="AG7" s="106"><f>IF(6&gt;&apos;Property Calculator&apos;!$B$11,0,&apos;Return Details&apos;!G10/(1+$B$3)^6)</f><v>-4468.2395277777487</v></c></row><row r="8" spans="1:33" ht="15" customHeight="1" x14ac:dyDescent="0.25"><c r="A8" s="2" t="s"><v>295</v></c><c r="B8" s="123"><f t="shared" ref="B8:AE8" si="0">1/(1+$B$3)^(COLUMN()-1)</f><v>0.97560975609756106</v></c><c r="C8" s="123"><f t="shared" si="0"/>&lt;v&gt;0.95181439619274244&lt;/v&gt;&lt;/c&gt;&lt;c r=&quot;D8&quot; s=&quot;123&quot;&gt;&lt;f t=&quot;shared&quot; si=&quot;0&quot;/&gt;&lt;v&gt;0.92859941091974885&lt;/v&gt;&lt;/c&gt;&lt;c r=&quot;E8&quot; s=&quot;123&quot;&gt;&lt;f t=&quot;shared&quot; si=&quot;0&quot;/&gt;&lt;v&gt;0.90595064479975507&lt;/v&gt;&lt;/c&gt;&lt;c r=&quot;F8&quot; s=&quot;123&quot;&gt;&lt;f t=&quot;shared&quot; si=&quot;0&quot;/&gt;&lt;v&gt;0.88385428760951712&lt;/v&gt;&lt;/c&gt;&lt;c r=&quot;G8&quot; s=&quot;123&quot;&gt;&lt;f t=&quot;shared&quot; si=&quot;0&quot;/&gt;&lt;v&gt;0.86229686596050459&lt;/v&gt;&lt;/c&gt;&lt;c r=&quot;H8&quot; s=&quot;123&quot;&gt;&lt;f t=&quot;shared&quot; si=&quot;0&quot;/&gt;&lt;v&gt;0.84126523508341911&lt;/v&gt;&lt;/c&gt;&lt;c r=&quot;I8&quot; s=&quot;123&quot;&gt;&lt;f t=&quot;shared&quot; si=&quot;0&quot;/&gt;&lt;v&gt;0.82074657081309188&lt;/v&gt;&lt;/c&gt;&lt;c r=&quot;J8&quot; s=&quot;123&quot;&gt;&lt;f t=&quot;shared&quot; si=&quot;0&quot;/&gt;&lt;v&gt;0.8007283617688703&lt;/v&gt;&lt;/c&gt;&lt;c r=&quot;K8&quot; s=&quot;123&quot;&gt;&lt;f t=&quot;shared&quot; si=&quot;0&quot;/&gt;&lt;v&gt;0.78119840172572708&lt;/v&gt;&lt;/c&gt;&lt;c r=&quot;L8&quot; s=&quot;123&quot;&gt;&lt;f t=&quot;shared&quot; si=&quot;0&quot;/&gt;&lt;v&gt;0.7621447821714411&lt;/v&gt;&lt;/c&gt;&lt;c r=&quot;M8&quot; s=&quot;123&quot;&gt;&lt;f t=&quot;shared&quot; si=&quot;0&quot;/&gt;&lt;v&gt;0.74355588504530845&lt;/v&gt;&lt;/c&gt;&lt;c r=&quot;N8&quot; s=&quot;123&quot;&gt;&lt;f t=&quot;shared&quot; si=&quot;0&quot;/&gt;&lt;v&gt;0.72542037565395945&lt;/v&gt;&lt;/c&gt;&lt;c r=&quot;O8&quot; s=&quot;123&quot;&gt;&lt;f t=&quot;shared&quot; si=&quot;0&quot;/&gt;&lt;v&gt;0.70772719575996057&lt;/v&gt;&lt;/c&gt;&lt;c r=&quot;P8&quot; s=&quot;123&quot;&gt;&lt;f t=&quot;shared&quot; si=&quot;0&quot;/&gt;&lt;v&gt;0.69046555683898581&lt;/v&gt;&lt;/c&gt;&lt;c r=&quot;Q8&quot; s=&quot;123&quot;&gt;&lt;f t=&quot;shared&quot; si=&quot;0&quot;/&gt;&lt;v&gt;0.67362493350144959&lt;/v&gt;&lt;/c&gt;&lt;c r=&quot;R8&quot; s=&quot;123&quot;&gt;&lt;f t=&quot;shared&quot; si=&quot;0&quot;/&gt;&lt;v&gt;0.65719505707458503&lt;/v&gt;&lt;/c&gt;&lt;c r=&quot;S8&quot; s=&quot;123&quot;&gt;&lt;f t=&quot;shared&quot; si=&quot;0&quot;/&gt;&lt;v&gt;0.64116590934105855&lt;/v&gt;&lt;/c&gt;&lt;c r=&quot;T8&quot; s=&quot;123&quot;&gt;&lt;f t=&quot;shared&quot; si=&quot;0&quot;/&gt;&lt;v&gt;0.62552771643030103&lt;/v&gt;&lt;/c&gt;&lt;c r=&quot;U8&quot; s=&quot;123&quot;&gt;&lt;f t=&quot;shared&quot; si=&quot;0&quot;/&gt;&lt;v&gt;0.61027094285883032&lt;/v&gt;&lt;/c&gt;&lt;c r=&quot;V8&quot; s=&quot;123&quot;&gt;&lt;f t=&quot;shared&quot; si=&quot;0&quot;/&gt;&lt;v&gt;0.59538628571593211&lt;/v&gt;&lt;/c&gt;&lt;c r=&quot;W8&quot; s=&quot;123&quot;&gt;&lt;f t=&quot;shared&quot; si=&quot;0&quot;/&gt;&lt;v&gt;0.5808646689911533&lt;/v&gt;&lt;/c&gt;&lt;c r=&quot;X8&quot; s=&quot;123&quot;&gt;&lt;f t=&quot;shared&quot; si=&quot;0&quot;/&gt;&lt;v&gt;0.5666972380401496&lt;/v&gt;&lt;/c&gt;&lt;c r=&quot;Y8&quot; s=&quot;123&quot;&gt;&lt;f t=&quot;shared&quot; si=&quot;0&quot;/&gt;&lt;v&gt;0.55287535418551181&lt;/v&gt;&lt;/c&gt;&lt;c r=&quot;Z8&quot; s=&quot;123&quot;&gt;&lt;f t=&quot;shared&quot; si=&quot;0&quot;/&gt;&lt;v&gt;0.53939058944927987&lt;/v&gt;&lt;/c&gt;&lt;c r=&quot;AA8&quot; s=&quot;144&quot;&gt;&lt;f t=&quot;shared&quot; si=&quot;0&quot;/&gt;&lt;v&gt;0.52623472141393168&lt;/v&gt;&lt;/c&gt;&lt;c r=&quot;AB8&quot; s=&quot;123&quot;&gt;&lt;f t=&quot;shared&quot; si=&quot;0&quot;/&gt;&lt;v&gt;0.51339972820871382&lt;/v&gt;&lt;/c&gt;&lt;c r=&quot;AC8&quot; s=&quot;123&quot;&gt;&lt;f t=&quot;shared&quot; si=&quot;0&quot;/&gt;&lt;v&gt;0.50087778361825741&lt;/v&gt;&lt;/c&gt;&lt;c r=&quot;AD8&quot; s=&quot;123&quot;&gt;&lt;f t=&quot;shared&quot; si=&quot;0&quot;/&gt;&lt;v&gt;0.48866125231049495&lt;/v&gt;&lt;/c&gt;&lt;c r=&quot;AE8&quot; s=&quot;123&quot;&gt;&lt;f t=&quot;shared&quot; si=&quot;0&quot;/&gt;&lt;v&gt;0.47674268518097085&lt;/v&gt;&lt;/c&gt;&lt;c r=&quot;AG8&quot; s=&quot;106&quot;&gt;&lt;f&gt;IF(7&gt;&apos;Property Calculator&apos;!$B$11,0,&apos;Return Details&apos;!G11/(1+$B$3)^7)</f><v>-4366.249200560389</v></c></row><row r="9" spans="1:33" ht="15" customHeight="1" x14ac:dyDescent="0.25"><c r="A9" s="2" t="s"><v>296</v></c><c r="B9" s="120"><f t="shared" ref="B9:AE9" si="1">B7*B8</f><v>1112.2225480961522</v></c><c r="C9" s="120"><f t="shared" si="1"/>&lt;v&gt;-4918.6134212912966&lt;/v&gt;&lt;/c&gt;&lt;c r=&quot;D9&quot; s=&quot;120&quot;&gt;&lt;f t=&quot;shared&quot; si=&quot;1&quot;/&gt;&lt;v&gt;-7492.3973672447983&lt;/v&gt;&lt;/c&gt;&lt;c r=&quot;E9&quot; s=&quot;120&quot;&gt;&lt;f t=&quot;shared&quot; si=&quot;1&quot;/&gt;&lt;v&gt;-4684.7462608658843&lt;/v&gt;&lt;/c&gt;&lt;c r=&quot;F9&quot; s=&quot;120&quot;&gt;&lt;f t=&quot;shared&quot; si=&quot;1&quot;/&gt;&lt;v&gt;-5679.1907622994013&lt;/v&gt;&lt;/c&gt;&lt;c r=&quot;G9&quot; s=&quot;120&quot;&gt;&lt;f t=&quot;shared&quot; si=&quot;1&quot;/&gt;&lt;v&gt;-4468.2395277777487&lt;/v&gt;&lt;/c&gt;&lt;c r=&quot;H9&quot; s=&quot;120&quot;&gt;&lt;f t=&quot;shared&quot; si=&quot;1&quot;/&gt;&lt;v&gt;-4366.249200560389&lt;/v&gt;&lt;/c&gt;&lt;c r=&quot;I9&quot; s=&quot;120&quot;&gt;&lt;f t=&quot;shared&quot; si=&quot;1&quot;/&gt;&lt;v&gt;-4268.3074631671952&lt;/v&gt;&lt;/c&gt;&lt;c r=&quot;J9&quot; s=&quot;120&quot;&gt;&lt;f t=&quot;shared&quot; si=&quot;1&quot;/&gt;&lt;v&gt;-4174.3222754555009&lt;/v&gt;&lt;/c&gt;&lt;c r=&quot;K9&quot; s=&quot;120&quot;&gt;&lt;f t=&quot;shared&quot; si=&quot;1&quot;/&gt;&lt;v&gt;-4084.2039570873508&lt;/v&gt;&lt;/c&gt;&lt;c r=&quot;L9&quot; s=&quot;120&quot;&gt;&lt;f t=&quot;shared&quot; si=&quot;1&quot;/&gt;&lt;v&gt;-3997.8651309347024&lt;/v&gt;&lt;/c&gt;&lt;c r=&quot;M9&quot; s=&quot;120&quot;&gt;&lt;f t=&quot;shared&quot; si=&quot;1&quot;/&gt;&lt;v&gt;-3915.2206678759676&lt;/v&gt;&lt;/c&gt;&lt;c r=&quot;N9&quot; s=&quot;120&quot;&gt;&lt;f t=&quot;shared&quot; si=&quot;1&quot;/&gt;&lt;v&gt;-3836.1876329501047&lt;/v&gt;&lt;/c&gt;&lt;c r=&quot;O9&quot; s=&quot;120&quot;&gt;&lt;f t=&quot;shared&quot; si=&quot;1&quot;/&gt;&lt;v&gt;-3760.6852328352388&lt;/v&gt;&lt;/c&gt;&lt;c r=&quot;P9&quot; s=&quot;120&quot;&gt;&lt;f t=&quot;shared&quot; si=&quot;1&quot;/&gt;&lt;v&gt;-3688.634764619615&lt;/v&gt;&lt;/c&gt;&lt;c r=&quot;Q9&quot; s=&quot;120&quot;&gt;&lt;f t=&quot;shared&quot; si=&quot;1&quot;/&gt;&lt;v&gt;-3619.9595658334929&lt;/v&gt;&lt;/c&gt;&lt;c r=&quot;R9&quot; s=&quot;120&quot;&gt;&lt;f t=&quot;shared&quot; si=&quot;1&quot;/&gt;&lt;v&gt;-3554.5849657113131&lt;/v&gt;&lt;/c&gt;&lt;c r=&quot;S9&quot; s=&quot;120&quot;&gt;&lt;f t=&quot;shared&quot; si=&quot;1&quot;/&gt;&lt;v&gt;-3492.4382376542681&lt;/v&gt;&lt;/c&gt;&lt;c r=&quot;T9&quot; s=&quot;120&quot;&gt;&lt;f t=&quot;shared&quot; si=&quot;1&quot;/&gt;&lt;v&gt;-3433.448552864103&lt;/v&gt;&lt;/c&gt;&lt;c r=&quot;U9&quot; s=&quot;120&quot;&gt;&lt;f t=&quot;shared&quot; si=&quot;1&quot;/&gt;&lt;v&gt;-3377.5469351196975&lt;/v&gt;&lt;/c&gt;&lt;c r=&quot;V9&quot; s=&quot;120&quot;&gt;&lt;f t=&quot;shared&quot; si=&quot;1&quot;/&gt;&lt;v&gt;-3324.6662166686724&lt;/v&gt;&lt;/c&gt;&lt;c r=&quot;W9&quot; s=&quot;120&quot;&gt;&lt;f t=&quot;shared&quot; si=&quot;1&quot;/&gt;&lt;v&gt;-3274.7409952069434&lt;/v&gt;&lt;/c&gt;&lt;c r=&quot;X9&quot; s=&quot;120&quot;&gt;&lt;f t=&quot;shared&quot; si=&quot;1&quot;/&gt;&lt;v&gt;-3227.7075919198114&lt;/v&gt;&lt;/c&gt;&lt;c r=&quot;Y9&quot; s=&quot;120&quot;&gt;&lt;f t=&quot;shared&quot; si=&quot;1&quot;/&gt;&lt;v&gt;-3183.5040105588228&lt;/v&gt;&lt;/c&gt;&lt;c r=&quot;Z9&quot; s=&quot;120&quot;&gt;&lt;f t=&quot;shared&quot; si=&quot;1&quot;/&gt;&lt;v&gt;-3142.0698975292376&lt;/v&gt;&lt;/c&gt;&lt;c r=&quot;AA9&quot; s=&quot;145&quot;&gt;&lt;f t=&quot;shared&quot; si=&quot;1&quot;/&gt;&lt;v&gt;-3103.3465029636154&lt;/v&gt;&lt;/c&gt;&lt;c r=&quot;AB9&quot; s=&quot;120&quot;&gt;&lt;f t=&quot;shared&quot; si=&quot;1&quot;/&gt;&lt;v&gt;-3067.2766427575539&lt;/v&gt;&lt;/c&gt;&lt;c r=&quot;AC9&quot; s=&quot;120&quot;&gt;&lt;f t=&quot;shared&quot; si=&quot;1&quot;/&gt;&lt;v&gt;-3033.804661544279&lt;/v&gt;&lt;/c&gt;&lt;c r=&quot;AD9&quot; s=&quot;120&quot;&gt;&lt;f t=&quot;shared&quot; si=&quot;1&quot;/&gt;&lt;v&gt;-3002.8763965852818&lt;/v&gt;&lt;/c&gt;&lt;c r=&quot;AE9&quot; s=&quot;120&quot;&gt;&lt;f t=&quot;shared&quot; si=&quot;1&quot;/&gt;&lt;v&gt;-2974.4391425547565&lt;/v&gt;&lt;/c&gt;&lt;c r=&quot;AG9&quot; s=&quot;106&quot;&gt;&lt;f&gt;IF(8&gt;&apos;Property Calculator&apos;!$B$11,0,&apos;Return Details&apos;!G12/(1+$B$3)^8)</f><v>-4268.3074631671952</v></c></row><row r="10" spans="1:33" ht="15" customHeight="1" x14ac:dyDescent="0.25"><c r="A10" s="2" t="s"><v>297</v></c><c r="B10" s="122"><f>&apos;Property Calculator&apos;!B105</f><v>11760</v></c><c r="C10" s="122"><f>&apos;Property Calculator&apos;!C105</f><v>11995.2</v></c><c r="D10" s="122"><f>&apos;Property Calculator&apos;!D105</f><v>12235.104000000001</v></c><c r="E10" s="122"><f>&apos;Property Calculator&apos;!E105</f><v>12479.806080000002</v></c><c r="F10" s="122"><f>&apos;Property Calculator&apos;!F105</f><v>12729.402201600002</v></c><c r="G10" s="122"><f>&apos;Property Calculator&apos;!G105</f><v>12983.990245632001</v></c><c r="H10" s="122"><f>&apos;Property Calculator&apos;!H105</f><v>13243.670050544642</v></c><c r="I10" s="122"><f>&apos;Property Calculator&apos;!I105</f><v>13508.543451555535</v></c><c r="J10" s="122"><f>&apos;Property Calculator&apos;!J105</f><v>13778.714320586647</v></c><c r="K10" s="122"><f>&apos;Property Calculator&apos;!K105</f><v>14054.28860699838</v></c><c r="L10" s="122"><f>&apos;Property Calculator&apos;!L105</f><v>14335.374379138348</v></c><c r="M10" s="122"><f>&apos;Property Calculator&apos;!M105</f><v>14622.081866721115</v></c><c r="N10" s="122"><f>&apos;Property Calculator&apos;!N105</f><v>14914.523504055538</v></c><c r="O10" s="122"><f>&apos;Property Calculator&apos;!O105</f><v>15212.813974136649</v></c><c r="P10" s="122"><f>&apos;Property Calculator&apos;!P105</f><v>15517.070253619382</v></c><c r="Q10" s="122"><f>&apos;Property Calculator&apos;!Q105</f><v>15827.41165869177</v></c><c r="R10" s="122"><f>&apos;Property Calculator&apos;!R105</f><v>16143.959891865605</v></c><c r="S10" s="122"><f>&apos;Property Calculator&apos;!S105</f><v>16466.839089702917</v></c><c r="T10" s="122"><f>&apos;Property Calculator&apos;!T105</f><v>16796.175871496976</v></c><c r="U10" s="122"><f>&apos;Property Calculator&apos;!U105</f><v>17132.099388926916</v></c><c r="V10" s="122"><f>&apos;Property Calculator&apos;!V105</f><v>17474.741376705453</v></c><c r="W10" s="122"><f>&apos;Property Calculator&apos;!W105</f><v>17824.236204239562</v></c><c r="X10" s="122"><f>&apos;Property Calculator&apos;!X105</f><v>18180.720928324354</v></c><c r="Y10" s="122"><f>&apos;Property Calculator&apos;!Y105</f><v>18544.335346890843</v></c><c r="Z10" s="122"><f>&apos;Property Calculator&apos;!Z105</f><v>18915.22205382866</v></c><c r="AA10" s="143"><f>&apos;Property Calculator&apos;!AA105</f><v>19293.526494905233</v></c><c r="AB10" s="122"><f>&apos;Property Calculator&apos;!AB105</f><v>19679.397024803337</v></c><c r="AC10" s="122"><f>&apos;Property Calculator&apos;!AC105</f><v>20072.984965299405</v></c><c r="AD10" s="122"><f>&apos;Property Calculator&apos;!AD105</f><v>20474.444664605395</v></c><c r="AE10" s="122"><f>&apos;Property Calculator&apos;!AE105</f><v>20883.933557897504</v></c><c r="AG10" s="106"><f>IF(9&gt;&apos;Property Calculator&apos;!$B$11,0,&apos;Return Details&apos;!G13/(1+$B$3)^9)</f><v>-4174.3222754554999</v></c></row><row r="11" spans="1:33" ht="15" customHeight="1" x14ac:dyDescent="0.25"><c r="A11" s="2" t="s"><v>298</v></c><c r="B11" s="120"><f t="shared" ref="B11:AE11" si="2">B10*B8</f><v>11473.170731707318</v></c><c r="C11" s="120"><f t="shared" si="2"/>&lt;v&gt;11417.204045211185&lt;/v&gt;&lt;/c&gt;&lt;c r=&quot;D11&quot; s=&quot;120&quot;&gt;&lt;f t=&quot;shared&quot; si=&quot;2&quot;/&gt;&lt;v&gt;11361.510366941864&lt;/v&gt;&lt;/c&gt;&lt;c r=&quot;E11&quot; s=&quot;120&quot;&gt;&lt;f t=&quot;shared&quot; si=&quot;2&quot;/&gt;&lt;v&gt;11306.088365151905&lt;/v&gt;&lt;/c&gt;&lt;c r=&quot;F11&quot; s=&quot;120&quot;&gt;&lt;f t=&quot;shared&quot; si=&quot;2&quot;/&gt;&lt;v&gt;11250.936714590189&lt;/v&gt;&lt;/c&gt;&lt;c r=&quot;G11&quot; s=&quot;120&quot;&gt;&lt;f t=&quot;shared&quot; si=&quot;2&quot;/&gt;&lt;v&gt;11196.054096470238&lt;/v&gt;&lt;/c&gt;&lt;c r=&quot;H11&quot; s=&quot;120&quot;&gt;&lt;f t=&quot;shared&quot; si=&quot;2&quot;/&gt;&lt;v&gt;11141.439198438675&lt;/v&gt;&lt;/c&gt;&lt;c r=&quot;I11&quot; s=&quot;120&quot;&gt;&lt;f t=&quot;shared&quot; si=&quot;2&quot;/&gt;&lt;v&gt;11087.090714543854&lt;/v&gt;&lt;/c&gt;&lt;c r=&quot;J11&quot; s=&quot;120&quot;&gt;&lt;f t=&quot;shared&quot; si=&quot;2&quot;/&gt;&lt;v&gt;11033.007345204618&lt;/v&gt;&lt;/c&gt;&lt;c r=&quot;K11&quot; s=&quot;120&quot;&gt;&lt;f t=&quot;shared&quot; si=&quot;2&quot;/&gt;&lt;v&gt;10979.187797179229&lt;/v&gt;&lt;/c&gt;&lt;c r=&quot;L11&quot; s=&quot;120&quot;&gt;&lt;f t=&quot;shared&quot; si=&quot;2&quot;/&gt;&lt;v&gt;10925.630783534454&lt;/v&gt;&lt;/c&gt;&lt;c r=&quot;M11&quot; s=&quot;120&quot;&gt;&lt;f t=&quot;shared&quot; si=&quot;2&quot;/&gt;&lt;v&gt;10872.335023614774&lt;/v&gt;&lt;/c&gt;&lt;c r=&quot;N11&quot; s=&quot;120&quot;&gt;&lt;f t=&quot;shared&quot; si=&quot;2&quot;/&gt;&lt;v&gt;10819.299243011776&lt;/v&gt;&lt;/c&gt;&lt;c r=&quot;O11&quot; s=&quot;120&quot;&gt;&lt;f t=&quot;shared&quot; si=&quot;2&quot;/&gt;&lt;v&gt;10766.522173533671&lt;/v&gt;&lt;/c&gt;&lt;c r=&quot;P11&quot; s=&quot;120&quot;&gt;&lt;f t=&quot;shared&quot; si=&quot;2&quot;/&gt;&lt;v&gt;10714.002553174969&lt;/v&gt;&lt;/c&gt;&lt;c r=&quot;Q11&quot; s=&quot;120&quot;&gt;&lt;f t=&quot;shared&quot; si=&quot;2&quot;/&gt;&lt;v&gt;10661.739126086311&lt;/v&gt;&lt;/c&gt;&lt;c r=&quot;R11&quot; s=&quot;120&quot;&gt;&lt;f t=&quot;shared&quot; si=&quot;2&quot;/&gt;&lt;v&gt;10609.730642544428&lt;/v&gt;&lt;/c&gt;&lt;c r=&quot;S11&quot; s=&quot;120&quot;&gt;&lt;f t=&quot;shared&quot; si=&quot;2&quot;/&gt;&lt;v&gt;10557.97585892226&lt;/v&gt;&lt;/c&gt;&lt;c r=&quot;T11&quot; s=&quot;120&quot;&gt;&lt;f t=&quot;shared&quot; si=&quot;2&quot;/&gt;&lt;v&gt;10506.473537659225&lt;/v&gt;&lt;/c&gt;&lt;c r=&quot;U11&quot; s=&quot;120&quot;&gt;&lt;f t=&quot;shared&quot; si=&quot;2&quot;/&gt;&lt;v&gt;10455.222447231619&lt;/v&gt;&lt;/c&gt;&lt;c r=&quot;V11&quot; s=&quot;120&quot;&gt;&lt;f t=&quot;shared&quot; si=&quot;2&quot;/&gt;&lt;v&gt;10404.221362123173&lt;/v&gt;&lt;/c&gt;&lt;c r=&quot;W11&quot; s=&quot;120&quot;&gt;&lt;f t=&quot;shared&quot; si=&quot;2&quot;/&gt;&lt;v&gt;10353.469062795744&lt;/v&gt;&lt;/c&gt;&lt;c r=&quot;X11&quot; s=&quot;120&quot;&gt;&lt;f t=&quot;shared&quot; si=&quot;2&quot;/&gt;&lt;v&gt;10302.964335660155&lt;/v&gt;&lt;/c&gt;&lt;c r=&quot;Y11&quot; s=&quot;120&quot;&gt;&lt;f t=&quot;shared&quot; si=&quot;2&quot;/&gt;&lt;v&gt;10252.705973047181&lt;/v&gt;&lt;/c&gt;&lt;c r=&quot;Z11&quot; s=&quot;120&quot;&gt;&lt;f t=&quot;shared&quot; si=&quot;2&quot;/&gt;&lt;v&gt;10202.69277317866&lt;/v&gt;&lt;/c&gt;&lt;c r=&quot;AA11&quot; s=&quot;145&quot;&gt;&lt;f t=&quot;shared&quot; si=&quot;2&quot;/&gt;&lt;v&gt;10152.923540138765&lt;/v&gt;&lt;/c&gt;&lt;c r=&quot;AB11&quot; s=&quot;120&quot;&gt;&lt;f t=&quot;shared&quot; si=&quot;2&quot;/&gt;&lt;v&gt;10103.397083845404&lt;/v&gt;&lt;/c&gt;&lt;c r=&quot;AC11&quot; s=&quot;120&quot;&gt;&lt;f t=&quot;shared&quot; si=&quot;2&quot;/&gt;&lt;v&gt;10054.112220021771&lt;/v&gt;&lt;/c&gt;&lt;c r=&quot;AD11&quot; s=&quot;120&quot;&gt;&lt;f t=&quot;shared&quot; si=&quot;2&quot;/&gt;&lt;v&gt;10005.067770168003&lt;/v&gt;&lt;/c&gt;&lt;c r=&quot;AE11&quot; s=&quot;120&quot;&gt;&lt;f t=&quot;shared&quot; si=&quot;2&quot;/&gt;&lt;v&gt;9956.2625615330417&lt;/v&gt;&lt;/c&gt;&lt;c r=&quot;AG11&quot; s=&quot;106&quot;&gt;&lt;f&gt;IF(10&gt;&apos;Property Calculator&apos;!$B$11,0,&apos;Return Details&apos;!G14/(1+$B$3)^10)</f><v>135801.94544727184</v></c></row><row r="12" spans="1:33" ht="15" customHeight="1" x14ac:dyDescent="0.25"><c r="A12" s="2" t="s"><v>299</v></c><c r="B12" s="122"><f>&apos;Property Calculator&apos;!B113</f><v>312333.6328338203</v></c><c r="C12" s="122"><f>&apos;Property Calculator&apos;!C113</f><v>306004.90295920556</v></c><c r="D12" s="122"><f>&apos;Property Calculator&apos;!D113</f><v>299451.07944693259</v></c><c r="E12" s="122"><f>&apos;Property Calculator&apos;!E113</f><v>292664.15640218242</v></c><c r="F12" s="122"><f>&apos;Property Calculator&apos;!F113</f><v>285635.84318485169</v></c><c r="G12" s="122"><f>&apos;Property Calculator&apos;!G113</f><v>278357.55428203067</v></c><c r="H12" s="122"><f>&apos;Property Calculator&apos;!H113</f><v>270820.39882027579</v></c><c r="I12" s="122"><f>&apos;Property Calculator&apos;!I113</f><v>263015.16970486619</v></c><c r="J12" s="122"><f>&apos;Property Calculator&apos;!J113</f><v>254932.33237277635</v></c><c r="K12" s="122"><f>&apos;Property Calculator&apos;!K113</f><v>246562.01314562609</v></c><c r="L12" s="122"><f>&apos;Property Calculator&apos;!L113</f><v>237893.98716838105</v></c><c r="M12" s="122"><f>&apos;Property Calculator&apos;!M113</f><v>228917.66591906891</v></c><c r="N12" s="122"><f>&apos;Property Calculator&apos;!N113</f><v>219622.08427425459</v></c><c r="O12" s="122"><f>&apos;Property Calculator&apos;!O113</f><v>209995.88711447373</v></c><c r="P12" s="122"><f>&apos;Property Calculator&apos;!P113</f><v>200027.31545326227</v></c><c r="Q12" s="122"><f>&apos;Property Calculator&apos;!Q113</f><v>189704.19207283793</v></c><c r="R12" s="122"><f>&apos;Property Calculator&apos;!R113</f><v>179013.90664888662</v></c><c r="S12" s="122"><f>&apos;Property Calculator&apos;!S113</f><v>167943.40034628264</v></c><c r="T12" s="122"><f>&apos;Property Calculator&apos;!T113</f><v>156479.14986692596</v></c><c r="U12" s="122"><f>&apos;Property Calculator&apos;!U113</f><v>144607.15093020906</v></c><c r="V12" s="122"><f>&apos;Property Calculator&apos;!V113</f><v>132312.90116593539</v></c><c r="W12" s="122"><f>&apos;Property Calculator&apos;!W113</f><v>119581.38239878978</v></c><c r="X12" s="122"><f>&apos;Property Calculator&apos;!X113</f><v>106397.04230272236</v></c><c r="Y12" s="122"><f>&apos;Property Calculator&apos;!Y113</f><v>92743.77540283445</v></c><c r="Z12" s="122"><f>&apos;Property Calculator&apos;!Z113</f><v>78604.903401559452</v></c><c r="AA12" s="143"><f>&apos;Property Calculator&apos;!AA113</f><v>63963.154805106002</v></c><c r="AB12" s="122"><f>&apos;Property Calculator&apos;!AB113</f><v>48800.643825275765</v></c><c r="AC12" s="122"><f>&apos;Property Calculator&apos;!AC113</f><v>33098.848530883144</v></c><c r="AD12" s="122"><f>&apos;Property Calculator&apos;!AD113</f><v>16838.588222087601</v></c><c r="AE12" s="122"><f>&apos;Property Calculator&apos;!AE113</f><v>0</v></c><c r="AG12" s="106"><f>IF(11&gt;&apos;Property Calculator&apos;!$B$11,0,&apos;Return Details&apos;!G15/(1+$B$3)^11)</f><v>0</v></c></row><row r="13" spans="1:33" ht="15" customHeight="1" x14ac:dyDescent="0.25"><c r="A13" s="2" t="s"><v>300</v></c><c r="B13" s="120"><f t="shared" ref="B13:AE13" si="3">B12*B8</f><v>304715.73935006862</v></c><c r="C13" s="120"><f t="shared" si="3"/>&lt;v&gt;291259.87194213498&lt;/v&gt;&lt;/c&gt;&lt;c r=&quot;D13&quot; s=&quot;120&quot;&gt;&lt;f t=&quot;shared&quot; si=&quot;3&quot;/&gt;&lt;v&gt;278070.09597370453&lt;/v&gt;&lt;/c&gt;&lt;c r=&quot;E13&quot; s=&quot;120&quot;&gt;&lt;f t=&quot;shared&quot; si=&quot;3&quot;/&gt;&lt;v&gt;265139.28120233351&lt;/v&gt;&lt;/c&gt;&lt;c r=&quot;F13&quot; s=&quot;120&quot;&gt;&lt;f t=&quot;shared&quot; si=&quot;3&quot;/&gt;&lt;v&gt;252460.46469389083&lt;/v&gt;&lt;/c&gt;&lt;c r=&quot;G13&quot; s=&quot;120&quot;&gt;&lt;f t=&quot;shared&quot; si=&quot;3&quot;/&gt;&lt;v&gt;240026.84667382608&lt;/v&gt;&lt;/c&gt;&lt;c r=&quot;H13&quot; s=&quot;120&quot;&gt;&lt;f t=&quot;shared&quot; si=&quot;3&quot;/&gt;&lt;v&gt;227831.78647892462&lt;/v&gt;&lt;/c&gt;&lt;c r=&quot;I13&quot; s=&quot;120&quot;&gt;&lt;f t=&quot;shared&quot; si=&quot;3&quot;/&gt;&lt;v&gt;215868.79860709232&lt;/v&gt;&lt;/c&gt;&lt;c r=&quot;J13&quot; s=&quot;120&quot;&gt;&lt;f t=&quot;shared&quot; si=&quot;3&quot;/&gt;&lt;v&gt;204131.54886277035&lt;/v&gt;&lt;/c&gt;&lt;c r=&quot;K13&quot; s=&quot;120&quot;&gt;&lt;f t=&quot;shared&quot; si=&quot;3&quot;/&gt;&lt;v&gt;192613.8505956408&lt;/v&gt;&lt;/c&gt;&lt;c r=&quot;L13&quot; s=&quot;120&quot;&gt;&lt;f t=&quot;shared&quot; si=&quot;3&quot;/&gt;&lt;v&gt;181309.66103034138&lt;/v&gt;&lt;/c&gt;&lt;c r=&quot;M13&quot; s=&quot;120&quot;&gt;&lt;f t=&quot;shared&quot; si=&quot;3&quot;/&gt;&lt;v&gt;170213.07768495951&lt;/v&gt;&lt;/c&gt;&lt;c r=&quot;N13&quot; s=&quot;120&quot;&gt;&lt;f t=&quot;shared&quot; si=&quot;3&quot;/&gt;&lt;v&gt;159318.33487613531&lt;/v&gt;&lt;/c&gt;&lt;c r=&quot;O13&quot; s=&quot;120&quot;&gt;&lt;f t=&quot;shared&quot; si=&quot;3&quot;/&gt;&lt;v&gt;148619.80030865173&lt;/v&gt;&lt;/c&gt;&lt;c r=&quot;P13&quot; s=&quot;120&quot;&gt;&lt;f t=&quot;shared&quot; si=&quot;3&quot;/&gt;&lt;v&gt;138111.97174744421&lt;/v&gt;&lt;/c&gt;&lt;c r=&quot;Q13&quot; s=&quot;120&quot;&gt;&lt;f t=&quot;shared&quot; si=&quot;3&quot;/&gt;&lt;v&gt;127789.47377001167&lt;/v&gt;&lt;/c&gt;&lt;c r=&quot;R13&quot; s=&quot;120&quot;&gt;&lt;f t=&quot;shared&quot; si=&quot;3&quot;/&gt;&lt;v&gt;117647.05459725948&lt;/v&gt;&lt;/c&gt;&lt;c r=&quot;S13&quot; s=&quot;120&quot;&gt;&lt;f t=&quot;shared&quot; si=&quot;3&quot;/&gt;&lt;v&gt;107679.58300085376&lt;/v&gt;&lt;/c&gt;&lt;c r=&quot;T13&quot; s=&quot;120&quot;&gt;&lt;f t=&quot;shared&quot; si=&quot;3&quot;/&gt;&lt;v&gt;97882.04528521304&lt;/v&gt;&lt;/c&gt;&lt;c r=&quot;U13&quot; s=&quot;120&quot;&gt;&lt;f t=&quot;shared&quot; si=&quot;3&quot;/&gt;&lt;v&gt;88249.542342307861&lt;/v&gt;&lt;/c&gt;&lt;c r=&quot;V13&quot; s=&quot;120&quot;&gt;&lt;f t=&quot;shared&quot; si=&quot;3&quot;/&gt;&lt;v&gt;78777.286777485497&lt;/v&gt;&lt;/c&gt;&lt;c r=&quot;W13&quot; s=&quot;120&quot;&gt;&lt;f t=&quot;shared&quot; si=&quot;3&quot;/&gt;&lt;v&gt;69460.600104577548&lt;/v&gt;&lt;/c&gt;&lt;c r=&quot;X13&quot; s=&quot;120&quot;&gt;&lt;f t=&quot;shared&quot; si=&quot;3&quot;/&gt;&lt;v&gt;60294.910008593717&lt;/v&gt;&lt;/c&gt;&lt;c r=&quot;Y13&quot; s=&quot;120&quot;&gt;&lt;f t=&quot;shared&quot; si=&quot;3&quot;/&gt;&lt;v&gt;51275.747674343656&lt;/v&gt;&lt;/c&gt;&lt;c r=&quot;Z13&quot; s=&quot;120&quot;&gt;&lt;f t=&quot;shared&quot; si=&quot;3&quot;/&gt;&lt;v&gt;42398.745179370853&lt;/v&gt;&lt;/c&gt;&lt;c r=&quot;AA13&quot; s=&quot;145&quot;&gt;&lt;f t=&quot;shared&quot; si=&quot;3&quot;/&gt;&lt;v&gt;33659.63294962114&lt;/v&gt;&lt;/c&gt;&lt;c r=&quot;AB13&quot; s=&quot;120&quot;&gt;&lt;f t=&quot;shared&quot; si=&quot;3&quot;/&gt;&lt;v&gt;25054.237276306827&lt;/v&gt;&lt;/c&gt;&lt;c r=&quot;AC13&quot; s=&quot;120&quot;&gt;&lt;f t=&quot;shared&quot; si=&quot;3&quot;/&gt;&lt;v&gt;16578.477892465165&lt;/v&gt;&lt;/c&gt;&lt;c r=&quot;AD13&quot; s=&quot;120&quot;&gt;&lt;f t=&quot;shared&quot; si=&quot;3&quot;/&gt;&lt;v&gt;8228.3656077460782&lt;/v&gt;&lt;/c&gt;&lt;c r=&quot;AE13&quot; s=&quot;120&quot;&gt;&lt;f t=&quot;shared&quot; si=&quot;3&quot;/&gt;&lt;v&gt;0&lt;/v&gt;&lt;/c&gt;&lt;c r=&quot;AG13&quot; s=&quot;106&quot;&gt;&lt;f&gt;IF(12&gt;&apos;Property Calculator&apos;!$B$11,0,&apos;Return Details&apos;!G16/(1+$B$3)^12)</f><v>0</v></c></row><row r="14" spans="1:33" ht="15" customHeight="1" x14ac:dyDescent="0.25"><c r="A14" s="1" t="s"><v>301</v></c><c r="B14" s="120"><f>B9</f><v>1112.2225480961522</v></c><c r="C14" s="120"><f t="shared" ref="C14:AE14" si="4">B14+C9</f><v>-3806.3908731951442</v></c><c r="D14" s="120"><f t="shared" si="4"/>&lt;v&gt;-11298.788240439942&lt;/v&gt;&lt;/c&gt;&lt;c r=&quot;E14&quot; s=&quot;120&quot;&gt;&lt;f t=&quot;shared&quot; si=&quot;4&quot;/&gt;&lt;v&gt;-15983.534501305827&lt;/v&gt;&lt;/c&gt;&lt;c r=&quot;F14&quot; s=&quot;120&quot;&gt;&lt;f t=&quot;shared&quot; si=&quot;4&quot;/&gt;&lt;v&gt;-21662.725263605229&lt;/v&gt;&lt;/c&gt;&lt;c r=&quot;G14&quot; s=&quot;120&quot;&gt;&lt;f t=&quot;shared&quot; si=&quot;4&quot;/&gt;&lt;v&gt;-26130.964791382976&lt;/v&gt;&lt;/c&gt;&lt;c r=&quot;H14&quot; s=&quot;120&quot;&gt;&lt;f t=&quot;shared&quot; si=&quot;4&quot;/&gt;&lt;v&gt;-30497.213991943365&lt;/v&gt;&lt;/c&gt;&lt;c r=&quot;I14&quot; s=&quot;120&quot;&gt;&lt;f t=&quot;shared&quot; si=&quot;4&quot;/&gt;&lt;v&gt;-34765.52145511056&lt;/v&gt;&lt;/c&gt;&lt;c r=&quot;J14&quot; s=&quot;120&quot;&gt;&lt;f t=&quot;shared&quot; si=&quot;4&quot;/&gt;&lt;v&gt;-38939.843730566063&lt;/v&gt;&lt;/c&gt;&lt;c r=&quot;K14&quot; s=&quot;120&quot;&gt;&lt;f t=&quot;shared&quot; si=&quot;4&quot;/&gt;&lt;v&gt;-43024.047687653416&lt;/v&gt;&lt;/c&gt;&lt;c r=&quot;L14&quot; s=&quot;120&quot;&gt;&lt;f t=&quot;shared&quot; si=&quot;4&quot;/&gt;&lt;v&gt;-47021.91281858812&lt;/v&gt;&lt;/c&gt;&lt;c r=&quot;M14&quot; s=&quot;120&quot;&gt;&lt;f t=&quot;shared&quot; si=&quot;4&quot;/&gt;&lt;v&gt;-50937.133486464088&lt;/v&gt;&lt;/c&gt;&lt;c r=&quot;N14&quot; s=&quot;120&quot;&gt;&lt;f t=&quot;shared&quot; si=&quot;4&quot;/&gt;&lt;v&gt;-54773.321119414191&lt;/v&gt;&lt;/c&gt;&lt;c r=&quot;O14&quot; s=&quot;120&quot;&gt;&lt;f t=&quot;shared&quot; si=&quot;4&quot;/&gt;&lt;v&gt;-58534.006352249431&lt;/v&gt;&lt;/c&gt;&lt;c r=&quot;P14&quot; s=&quot;120&quot;&gt;&lt;f t=&quot;shared&quot; si=&quot;4&quot;/&gt;&lt;v&gt;-62222.641116869047&lt;/v&gt;&lt;/c&gt;&lt;c r=&quot;Q14&quot; s=&quot;120&quot;&gt;&lt;f t=&quot;shared&quot; si=&quot;4&quot;/&gt;&lt;v&gt;-65842.600682702541&lt;/v&gt;&lt;/c&gt;&lt;c r=&quot;R14&quot; s=&quot;120&quot;&gt;&lt;f t=&quot;shared&quot; si=&quot;4&quot;/&gt;&lt;v&gt;-69397.185648413855&lt;/v&gt;&lt;/c&gt;&lt;c r=&quot;S14&quot; s=&quot;120&quot;&gt;&lt;f t=&quot;shared&quot; si=&quot;4&quot;/&gt;&lt;v&gt;-72889.623886068119&lt;/v&gt;&lt;/c&gt;&lt;c r=&quot;T14&quot; s=&quot;120&quot;&gt;&lt;f t=&quot;shared&quot; si=&quot;4&quot;/&gt;&lt;v&gt;-76323.072438932228&lt;/v&gt;&lt;/c&gt;&lt;c r=&quot;U14&quot; s=&quot;120&quot;&gt;&lt;f t=&quot;shared&quot; si=&quot;4&quot;/&gt;&lt;v&gt;-79700.619374051923&lt;/v&gt;&lt;/c&gt;&lt;c r=&quot;V14&quot; s=&quot;120&quot;&gt;&lt;f t=&quot;shared&quot; si=&quot;4&quot;/&gt;&lt;v&gt;-83025.285590720596&lt;/v&gt;&lt;/c&gt;&lt;c r=&quot;W14&quot; s=&quot;120&quot;&gt;&lt;f t=&quot;shared&quot; si=&quot;4&quot;/&gt;&lt;v&gt;-86300.026585927539&lt;/v&gt;&lt;/c&gt;&lt;c r=&quot;X14&quot; s=&quot;120&quot;&gt;&lt;f t=&quot;shared&quot; si=&quot;4&quot;/&gt;&lt;v&gt;-89527.734177847349&lt;/v&gt;&lt;/c&gt;&lt;c r=&quot;Y14&quot; s=&quot;120&quot;&gt;&lt;f t=&quot;shared&quot; si=&quot;4&quot;/&gt;&lt;v&gt;-92711.238188406176&lt;/v&gt;&lt;/c&gt;&lt;c r=&quot;Z14&quot; s=&quot;120&quot;&gt;&lt;f t=&quot;shared&quot; si=&quot;4&quot;/&gt;&lt;v&gt;-95853.308085935409&lt;/v&gt;&lt;/c&gt;&lt;c r=&quot;AA14&quot; s=&quot;145&quot;&gt;&lt;f t=&quot;shared&quot; si=&quot;4&quot;/&gt;&lt;v&gt;-98956.654588899022&lt;/v&gt;&lt;/c&gt;&lt;c r=&quot;AB14&quot; s=&quot;120&quot;&gt;&lt;f t=&quot;shared&quot; si=&quot;4&quot;/&gt;&lt;v&gt;-102023.93123165658&lt;/v&gt;&lt;/c&gt;&lt;c r=&quot;AC14&quot; s=&quot;120&quot;&gt;&lt;f t=&quot;shared&quot; si=&quot;4&quot;/&gt;&lt;v&gt;-105057.73589320085&lt;/v&gt;&lt;/c&gt;&lt;c r=&quot;AD14&quot; s=&quot;120&quot;&gt;&lt;f t=&quot;shared&quot; si=&quot;4&quot;/&gt;&lt;v&gt;-108060.61228978614&lt;/v&gt;&lt;/c&gt;&lt;c r=&quot;AE14&quot; s=&quot;120&quot;&gt;&lt;f t=&quot;shared&quot; si=&quot;4&quot;/&gt;&lt;v&gt;-111035.05143234089&lt;/v&gt;&lt;/c&gt;&lt;c r=&quot;AG14&quot; s=&quot;106&quot;&gt;&lt;f&gt;IF(13&gt;&apos;Property Calculator&apos;!$B$11,0,&apos;Return Details&apos;!G17/(1+$B$3)^13)</f><v>0</v></c></row><row r="15" spans="1:33" ht="15" customHeight="1" x14ac:dyDescent="0.25"><c r="A15" s="1" t="s"><v>302</v></c><c r="B15" s="120"><f>B7</f><v>1140.028111798556</v></c><c r="C15" s="120"><f t="shared" ref="C15:AE15" si="5">B15+C7</f><v>-4027.5901139456128</v></c><c r="D15" s="120"><f t="shared" si="5"/>&lt;v&gt;-12096.082597506218&lt;/v&gt;&lt;/c&gt;&lt;c r=&quot;E15&quot; s=&quot;120&quot;&gt;&lt;f t=&quot;shared&quot; si=&quot;5&quot;/&gt;&lt;v&gt;-17267.165909557247&lt;/v&gt;&lt;/c&gt;&lt;c r=&quot;F15&quot; s=&quot;120&quot;&gt;&lt;f t=&quot;shared&quot; si=&quot;5&quot;/&gt;&lt;v&gt;-23692.648980595357&lt;/v&gt;&lt;/c&gt;&lt;c r=&quot;G15&quot; s=&quot;120&quot;&gt;&lt;f t=&quot;shared&quot; si=&quot;5&quot;/&gt;&lt;v&gt;-28874.436951957883&lt;/v&gt;&lt;/c&gt;&lt;c r=&quot;H15&quot; s=&quot;120&quot;&gt;&lt;f t=&quot;shared&quot; si=&quot;5&quot;/&gt;&lt;v&gt;-34064.535173629236&lt;/v&gt;&lt;/c&gt;&lt;c r=&quot;I15&quot; s=&quot;120&quot;&gt;&lt;f t=&quot;shared&quot; si=&quot;5&quot;/&gt;&lt;v&gt;-39265.053354215357&lt;/v&gt;&lt;/c&gt;&lt;c r=&quot;J15&quot; s=&quot;120&quot;&gt;&lt;f t=&quot;shared&quot; si=&quot;5&quot;/&gt;&lt;v&gt;-44478.209868659411&lt;/v&gt;&lt;/c&gt;&lt;c r=&quot;K15&quot; s=&quot;120&quot;&gt;&lt;f t=&quot;shared&quot; si=&quot;5&quot;/&gt;&lt;v&gt;-49706.33622947253&lt;/v&gt;&lt;/c&gt;&lt;c r=&quot;L15&quot; s=&quot;120&quot;&gt;&lt;f t=&quot;shared&quot; si=&quot;5&quot;/&gt;&lt;v&gt;-54951.881727460866&lt;/v&gt;&lt;/c&gt;&lt;c r=&quot;M15&quot; s=&quot;120&quot;&gt;&lt;f t=&quot;shared&quot; si=&quot;5&quot;/&gt;&lt;v&gt;-60217.418248145383&lt;/v&gt;&lt;/c&gt;&lt;c r=&quot;N15&quot; s=&quot;120&quot;&gt;&lt;f t=&quot;shared&quot; si=&quot;5&quot;/&gt;&lt;v&gt;-65505.645270293498&lt;/v&gt;&lt;/c&gt;&lt;c r=&quot;O15&quot; s=&quot;120&quot;&gt;&lt;f t=&quot;shared&quot; si=&quot;5&quot;/&gt;&lt;v&gt;-70819.395053212327&lt;/v&gt;&lt;/c&gt;&lt;c r=&quot;P15&quot; s=&quot;120&quot;&gt;&lt;f t=&quot;shared&quot; si=&quot;5&quot;/&gt;&lt;v&gt;-76161.638019692109&lt;/v&gt;&lt;/c&gt;&lt;c r=&quot;Q15&quot; s=&quot;120&quot;&gt;&lt;f t=&quot;shared&quot; si=&quot;5&quot;/&gt;&lt;v&gt;-81535.488341735909&lt;/v&gt;&lt;/c&gt;&lt;c r=&quot;R15&quot; s=&quot;120&quot;&gt;&lt;f t=&quot;shared&quot; si=&quot;5&quot;/&gt;&lt;v&gt;-86944.209736467732&lt;/v&gt;&lt;/c&gt;&lt;c r=&quot;S15&quot; s=&quot;120&quot;&gt;&lt;f t=&quot;shared&quot; si=&quot;5&quot;/&gt;&lt;v&gt;-92391.221479876753&lt;/v&gt;&lt;/c&gt;&lt;c r=&quot;T15&quot; s=&quot;120&quot;&gt;&lt;f t=&quot;shared&quot; si=&quot;5&quot;/&gt;&lt;v&gt;-97880.104646329812&lt;/v&gt;&lt;/c&gt;&lt;c r=&quot;U15&quot; s=&quot;120&quot;&gt;&lt;f t=&quot;shared&quot; si=&quot;5&quot;/&gt;&lt;v&gt;-103414.60858206938&lt;/v&gt;&lt;/c&gt;&lt;c r=&quot;V15&quot; s=&quot;120&quot;&gt;&lt;f t=&quot;shared&quot; si=&quot;5&quot;/&gt;&lt;v&gt;-108998.65762120852&lt;/v&gt;&lt;/c&gt;&lt;c r=&quot;W15&quot; s=&quot;120&quot;&gt;&lt;f t=&quot;shared&quot; si=&quot;5&quot;/&gt;&lt;v&gt;-114636.35805303977&lt;/v&gt;&lt;/c&gt;&lt;c r=&quot;X15&quot; s=&quot;120&quot;&gt;&lt;f t=&quot;shared&quot; si=&quot;5&quot;/&gt;&lt;v&gt;-120332.00534979108&lt;/v&gt;&lt;/c&gt;&lt;c r=&quot;Y15&quot; s=&quot;120&quot;&gt;&lt;f t=&quot;shared&quot; si=&quot;5&quot;/&gt;&lt;v&gt;-126090.09166428907&lt;/v&gt;&lt;/c&gt;&lt;c r=&quot;Z15&quot; s=&quot;120&quot;&gt;&lt;f t=&quot;shared&quot; si=&quot;5&quot;/&gt;&lt;v&gt;-131915.3136073291&lt;/v&gt;&lt;/c&gt;&lt;c r=&quot;AA15&quot; s=&quot;145&quot;&gt;&lt;f t=&quot;shared&quot; si=&quot;5&quot;/&gt;&lt;v&gt;-137812.58031490265&lt;/v&gt;&lt;/c&gt;&lt;c r=&quot;AB15&quot; s=&quot;120&quot;&gt;&lt;f t=&quot;shared&quot; si=&quot;5&quot;/&gt;&lt;v&gt;-143787.02181579609&lt;/v&gt;&lt;/c&gt;&lt;c r=&quot;AC15&quot; s=&quot;120&quot;&gt;&lt;f t=&quot;shared&quot; si=&quot;5&quot;/&gt;&lt;v&gt;-149843.99771045163&lt;/v&gt;&lt;/c&gt;&lt;c r=&quot;AD15&quot; s=&quot;120&quot;&gt;&lt;f t=&quot;shared&quot; si=&quot;5&quot;/&gt;&lt;v&gt;-155989.10617237087&lt;/v&gt;&lt;/c&gt;&lt;c r=&quot;AE15&quot; s=&quot;120&quot;&gt;&lt;f t=&quot;shared&quot; si=&quot;5&quot;/&gt;&lt;v&gt;-162228.19328374555&lt;/v&gt;&lt;/c&gt;&lt;c r=&quot;AG15&quot; s=&quot;106&quot;&gt;&lt;f&gt;IF(14&gt;&apos;Property Calculator&apos;!$B$11,0,&apos;Return Details&apos;!G18/(1+$B$3)^14)</f><v>0</v></c></row><row r="16" spans="1:33" ht="15" customHeight="1" x14ac:dyDescent="0.25"><c r="AG16" s="106"><f>IF(15&gt;&apos;Property Calculator&apos;!$B$11,0,&apos;Return Details&apos;!G19/(1+$B$3)^15)</f><v>0</v></c></row><row r="17" spans="1:33" ht="15" customHeight="1" x14ac:dyDescent="0.25"><c r="A17" s="267" t="s"><v>303</v></c><c r="B17" s="262"/><c r="AG17" s="106"><f>IF(16&gt;&apos;Property Calculator&apos;!$B$11,0,&apos;Return Details&apos;!G20/(1+$B$3)^16)</f><v>0</v></c></row><row r="18" spans="1:33" ht="15" customHeight="1" x14ac:dyDescent="0.25"><c r="A18" s="1" t="s"><v>304</v></c><c r="B18" s="124"><f>SUM(B7:INDEX(B7:AE7,1,&apos;Property Calculator&apos;!$B$11))</f><v>-49706.33622947253</v></c><c r="AG18" s="106"><f>IF(17&gt;&apos;Property Calculator&apos;!$B$11,0,&apos;Return Details&apos;!G21/(1+$B$3)^17)</f><v>0</v></c></row><row r="19" spans="1:33" ht="15" customHeight="1" x14ac:dyDescent="0.25"><c r="A19" s="1" t="s"><v>305</v></c><c r="B19" s="124"><f>SUM(B9:INDEX(B9:AE9,1,&apos;Property Calculator&apos;!$B$11))</f><v>-43024.047687653416</v></c><c r="AG19" s="106"><f>IF(18&gt;&apos;Property Calculator&apos;!$B$11,0,&apos;Return Details&apos;!G22/(1+$B$3)^18)</f><v>0</v></c></row><row r="20" spans="1:33" ht="15" customHeight="1" x14ac:dyDescent="0.25"><c r="A20" s="1" t="s"><v>306</v></c><c r="B20" s="104"><f>B19-B18</f><v>6682.2885418191145</v></c><c r="AG20" s="106"><f>IF(19&gt;&apos;Property Calculator&apos;!$B$11,0,&apos;Return Details&apos;!G23/(1+$B$3)^19)</f><v>0</v></c></row><row r="21" spans="1:33" ht="15" customHeight="1" x14ac:dyDescent="0.25"><c r="A21" s="1" t="s"><v>307</v></c><c r="B21" s="45"><f>IFERROR(B20/ABS(B18),&quot;—&quot;)</f><v>0.13443534665218324</v></c><c r="AG21" s="106"><f>IF(20&gt;&apos;Property Calculator&apos;!$B$11,0,&apos;Return Details&apos;!G24/(1+$B$3)^20)</f><v>0</v></c></row><row r="22" spans="1:33" ht="15" customHeight="1" x14ac:dyDescent="0.25"><c r="A22" s="1" t="s"><v>308</v></c><c r="B22" s="125"><f>IFERROR(IRR(AG1:INDEX(AG1:AG31,&apos;Property Calculator&apos;!$B$11+1)),&quot;—&quot;)</f><v>1.6068621831715424E-2</v></c><c r="AG22" s="106"><f>IF(21&gt;&apos;Property Calculator&apos;!$B$11,0,&apos;Return Details&apos;!G25/(1+$B$3)^21)</f><v>0</v></c></row><row r="23" spans="1:33" ht="15" customHeight="1" x14ac:dyDescent="0.25"><c r="A23" s="1" t="s"><v>309</v></c><c r="B23" s="14" t="str"><f>IF(INDEX(B14:AE14,1,&apos;Property Calculator&apos;!$B$11)&lt;0,&quot;No operating break-even&quot;,MATCH(TRUE(),INDEX(B14:INDEX(B14:AE14,1,&apos;Property Calculator&apos;!$B$11)&gt;=0,0),0))</f><v>No operating break-even</v></c><c r="AG23" s="106"><f>IF(22&gt;&apos;Property Calculator&apos;!$B$11,0,&apos;Return Details&apos;!G26/(1+$B$3)^22)</f><v>0</v></c></row><row r="24" spans="1:33" ht="15" customHeight="1" x14ac:dyDescent="0.25"><c r="A24" s="1" t="s"><v>310</v></c><c r="B24" s="14" t="str"><f>IF(INDEX(B15:AE15,1,&apos;Property Calculator&apos;!$B$11)&lt;0,&quot;No operating break-even&quot;,MATCH(TRUE(),INDEX(B15:INDEX(B15:AE15,1,&apos;Property Calculator&apos;!$B$11)&gt;=0,0),0))</f><v>No operating break-even</v></c><c r="AG24" s="106"><f>IF(23&gt;&apos;Property Calculator&apos;!$B$11,0,&apos;Return Details&apos;!G27/(1+$B$3)^23)</f><v>0</v></c></row><row r="25" spans="1:33" ht="30" customHeight="1" x14ac:dyDescent="0.25"><c r="A25" s="284" t="s"><v>311</v></c><c r="B25" s="285"/><c r="C25" s="285"/><c r="D25" s="285"/><c r="E25" s="285"/><c r="F25" s="285"/><c r="G25" s="285"/><c r="H25" s="286"/><c r="AG25" s="106"><f>IF(24&gt;&apos;Property Calculator&apos;!$B$11,0,&apos;Return Details&apos;!G28/(1+$B$3)^24)</f><v>0</v></c></row><row r="26" spans="1:33" ht="15" customHeight="1" x14ac:dyDescent="0.25"><c r="AG26" s="106"><f>IF(25&gt;&apos;Property Calculator&apos;!$B$11,0,&apos;Return Details&apos;!G29/(1+$B$3)^25)</f><v>0</v></c></row><row r="27" spans="1:33" ht="15" customHeight="1" x14ac:dyDescent="0.25"><c r="AG27" s="106"><f>IF(26&gt;&apos;Property Calculator&apos;!$B$11,0,&apos;Return Details&apos;!G30/(1+$B$3)^26)</f><v>0</v></c></row><row r="28" spans="1:33" ht="15" customHeight="1" x14ac:dyDescent="0.25"><c r="AG28" s="106"><f>IF(27&gt;&apos;Property Calculator&apos;!$B$11,0,&apos;Return Details&apos;!G31/(1+$B$3)^27)</f><v>0</v></c></row><row r="29" spans="1:33" ht="15" customHeight="1" x14ac:dyDescent="0.25"><c r="AG29" s="106"><f>IF(28&gt;&apos;Property Calculator&apos;!$B$11,0,&apos;Return Details&apos;!G32/(1+$B$3)^28)</f><v>0</v></c></row><row r="30" spans="1:33" x14ac:dyDescent="0.25"><c r="AG30" s="106"><f>IF(29&gt;&apos;Property Calculator&apos;!$B$11,0,&apos;Return Details&apos;!G33/(1+$B$3)^29)</f><v>0</v></c></row><row r="31" spans="1:33" x14ac:dyDescent="0.25"><c r="AG31" s="106"><f>IF(30&gt;&apos;Property Calculator&apos;!$B$11,0,&apos;Return Details&apos;!G34/(1+$B$3)^30)</f><v>0</v></c></row></sheetData><mergeCells count="5"><mergeCell ref="A25:H25"/><mergeCell ref="A2:K2"/><mergeCell ref="A1:K1"/><mergeCell ref="A17:B17"/><mergeCell ref="A5:K5"/></mergeCells><conditionalFormatting sqref="B18:B19"><cfRule type="cellIs" dxfId="10" priority="1" operator="lessThan"><formula>0</formula></cfRule></conditionalFormatting><conditionalFormatting sqref="B22"><cfRule type="cellIs" dxfId="9" priority="3" operator="lessThan"><formula>0</formula></cfRule></conditionalFormatting><pageMargins left="0.7" right="0.7" top="0.75" bottom="0.75" header="0.3" footer="0.3"/><drawing r:id="rId1"/></worksheet>
</file>

<file path=xl/worksheets/sheet11.xml><?xml version="1.0" encoding="UTF-8" standalone="yes"?>
<worksheet xmlns="http://schemas.openxmlformats.org/spreadsheetml/2006/main" xmlns:r="http://schemas.openxmlformats.org/officeDocument/2006/relationships" xmlns:mc="http://schemas.openxmlformats.org/markup-compatibility/2006" mc:Ignorable="x14ac xr xr2 xr3" xmlns:x14ac="http://schemas.microsoft.com/office/spreadsheetml/2009/9/ac" xmlns:xr="http://schemas.microsoft.com/office/spreadsheetml/2014/revision" xmlns:xr2="http://schemas.microsoft.com/office/spreadsheetml/2015/revision2" xmlns:xr3="http://schemas.microsoft.com/office/spreadsheetml/2016/revision3" xr:uid="{00000000-0001-0000-0700-000000000000}"><dimension ref="A1:Q603"/><sheetViews><sheetView showGridLines="0" workbookViewId="0"><selection sqref="A1:I1"/></sheetView></sheetViews><sheetFormatPr baseColWidth="10" defaultColWidth="9.140625" defaultRowHeight="15" x14ac:dyDescent="0.25"/><cols><col min="1" max="2" width="8" style="70" customWidth="1"/><col min="3" max="3" width="12" style="70" customWidth="1"/><col min="4" max="4" width="18" style="70" customWidth="1"/><col min="5" max="7" width="12" style="70" customWidth="1"/><col min="8" max="8" width="16" style="70" customWidth="1"/><col min="9" max="9" width="18" style="70" customWidth="1"/><col min="10" max="10" width="16" style="70" customWidth="1"/><col min="11" max="11" width="8" style="70" customWidth="1"/><col min="12" max="14" width="12" style="70" customWidth="1"/><col min="15" max="16" width="14" style="70" customWidth="1"/><col min="17" max="17" width="12" style="70" customWidth="1"/></cols><sheetData><row r="1" spans="1:17" ht="15.75" customHeight="1" x14ac:dyDescent="0.25"><c r="A1" s="287" t="s"><v>312</v></c><c r="B1" s="262"/><c r="C1" s="262"/><c r="D1" s="262"/><c r="E1" s="262"/><c r="F1" s="262"/><c r="G1" s="262"/><c r="H1" s="262"/><c r="I1" s="262"/></row><row r="2" spans="1:17" x14ac:dyDescent="0.25"><c r="A2" s="288" t="s"><v>313</v></c><c r="B2" s="262"/><c r="C2" s="262"/><c r="D2" s="262"/><c r="E2" s="262"/><c r="F2" s="262"/><c r="G2" s="262"/><c r="H2" s="262"/><c r="I2" s="262"/></row><row r="3" spans="1:17" ht="30" customHeight="1" x14ac:dyDescent="0.25"><c r="A3" s="22" t="s"><v>314</v></c><c r="B3" s="22" t="s"><v>197</v></c><c r="C3" s="22" t="s"><v>315</v></c><c r="D3" s="22" t="s"><v>316</v></c><c r="E3" s="22" t="s"><v>317</v></c><c r="F3" s="22" t="s"><v>318</v></c><c r="G3" s="22" t="s"><v>319</v></c><c r="H3" s="22" t="s"><v>320</v></c><c r="I3" s="22" t="s"><v>321</v></c><c r="J3" s="23" t="s"><v>322</v></c><c r="K3" s="21" t="s"><v>197</v></c><c r="L3" s="21" t="s"><v>323</v></c><c r="M3" s="21" t="s"><v>324</v></c><c r="N3" s="21" t="s"><v>325</v></c><c r="O3" s="21" t="s"><v>326</v></c><c r="P3" s="21" t="s"><v>327</v></c><c r="Q3" s="21" t="s"><v>328</v></c></row><row r="4" spans="1:17" x14ac:dyDescent="0.25"><c r="A4"><v>1</v></c><c r="B4"><f t="shared" ref="B4:B67" si="0">INT((A4-1)/12)+1</f><v>1</v></c><c r="C4" s="37"><f>IF(A4&gt;&apos;Property Calculator&apos;!$B$70*12,0,IF(AND(&apos;Property Calculator&apos;!$B$72=1,B4&gt;&apos;Property Calculator&apos;!$B$69),&apos;Property Calculator&apos;!$B$73,&apos;Property Calculator&apos;!$B$65))</f><v>3.5000000000000003E-2</v></c><c r="D4" s="72"><f>IF(A4&gt;&apos;Property Calculator&apos;!$B$70*12,0,&apos;Property Calculator&apos;!$B$64)</f><v>318445</v></c><c r="E4" s="72"><f>IF(OR(A4&gt;&apos;Property Calculator&apos;!$B$70*12,D4&lt;=0),0,IF(AND(&apos;Property Calculator&apos;!$B$72=1,B4&gt;&apos;Property Calculator&apos;!$B$69),MIN(D4*C4/12+&apos;Property Calculator&apos;!$B$74/12,D4*(1+C4/12)),MIN(&apos;Property Calculator&apos;!$B$67,D4*(1+C4/12))))</f><v>1429.9603560928113</v></c><c r="F4" s="72"><f>IF(OR(A4&gt;&apos;Property Calculator&apos;!$B$70*12,D4&lt;=0),0,D4*C4/12)</f><v>928.79791666666677</v></c><c r="G4" s="72"><f>IF(OR(A4&gt;&apos;Property Calculator&apos;!$B$70*12,D4&lt;=0),0,MAX(0,MIN(D4,E4-F4)))</f><v>501.16243942614449</v></c><c r="H4" s="126"><v>0</v></c><c r="I4" s="72"><f>IF(A4&gt;&apos;Property Calculator&apos;!$B$70*12,0,MAX(0,D4-G4-J4))</f><v>317943.83756057388</v></c><c r="J4" s="72"><f>IF(OR(A4&gt;&apos;Property Calculator&apos;!$B$70*12,D4&lt;=0),0,MIN(H4,MAX(0,D4-G4)))</f><v>0</v></c><c r="K4"><v>1</v></c><c r="L4" s="72"><f>IF(K4&gt;&apos;Property Calculator&apos;!$B$70,0,SUMIF($B$4:$B$603,K4,$F$4:$F$603))</f><v>11048.157106934035</v></c><c r="M4" s="72"><f>IF(K4&gt;&apos;Property Calculator&apos;!$B$70,0,SUMIF($B$4:$B$603,K4,$E$4:$E$603)+SUMIF($B$4:$B$603,K4,$H$4:$H$603))</f><v>17159.524273113737</v></c><c r="N4" s="72"><f>IF(K4&gt;&apos;Property Calculator&apos;!$B$70,0,SUMIF($B$4:$B$603,K4,$G$4:$G$603))</f><v>6111.3671661796998</v></c><c r="O4" s="72"><f>IF(K4&gt;&apos;Property Calculator&apos;!$B$70,0,SUMIF($B$4:$B$603,K4,$J$4:$J$603))</f><v>0</v></c><c r="P4" s="72"><f>IF(K4&gt;&apos;Property Calculator&apos;!$B$70,0,IFERROR(INDEX($I$4:$I$603,K4*12),0))</f><v>312333.6328338203</v></c><c r="Q4" t="str"><f>IF(K4&lt;=&apos;Property Calculator&apos;!$B$70,&quot;yes&quot;,&quot;—&quot;)</f><v>yes</v></c></row><row r="5" spans="1:17" x14ac:dyDescent="0.25"><c r="A5"><v>2</v></c><c r="B5"><f t="shared" si="0"/>&lt;v&gt;1&lt;/v&gt;&lt;/c&gt;&lt;c r=&quot;C5&quot; s=&quot;37&quot;&gt;&lt;f&gt;IF(A5&gt;&apos;Property Calculator&apos;!$B$70*12,0,IF(AND(&apos;Property Calculator&apos;!$B$72=1,B5&gt;&apos;Property Calculator&apos;!$B$69),&apos;Property Calculator&apos;!$B$73,&apos;Property Calculator&apos;!$B$65))</f><v>3.5000000000000003E-2</v></c><c r="D5" s="72"><f>IF(A5&gt;&apos;Property Calculator&apos;!$B$70*12,0,I4)</f><v>317943.83756057388</v></c><c r="E5" s="72"><f>IF(OR(A5&gt;&apos;Property Calculator&apos;!$B$70*12,D5&lt;=0),0,IF(AND(&apos;Property Calculator&apos;!$B$72=1,B5&gt;&apos;Property Calculator&apos;!$B$69),MIN(D5*C5/12+&apos;Property Calculator&apos;!$B$74/12,D5*(1+C5/12)),MIN(&apos;Property Calculator&apos;!$B$67,D5*(1+C5/12))))</f><v>1429.9603560928113</v></c><c r="F5" s="72"><f>IF(OR(A5&gt;&apos;Property Calculator&apos;!$B$70*12,D5&lt;=0),0,D5*C5/12)</f><v>927.33619288500722</v></c><c r="G5" s="72"><f>IF(OR(A5&gt;&apos;Property Calculator&apos;!$B$70*12,D5&lt;=0),0,MAX(0,MIN(D5,E5-F5)))</f><v>502.62416320780403</v></c><c r="H5" s="126"><v>0</v></c><c r="I5" s="72"><f>IF(A5&gt;&apos;Property Calculator&apos;!$B$70*12,0,MAX(0,D5-G5-J5))</f><v>317441.21339736605</v></c><c r="J5" s="72"><f>IF(OR(A5&gt;&apos;Property Calculator&apos;!$B$70*12,D5&lt;=0),0,MIN(H5,MAX(0,D5-G5)))</f><v>0</v></c><c r="K5"><v>2</v></c><c r="L5" s="72"><f>IF(K5&gt;&apos;Property Calculator&apos;!$B$70,0,SUMIF($B$4:$B$603,K5,$F$4:$F$603))</f><v>10830.794398498972</v></c><c r="M5" s="72"><f>IF(K5&gt;&apos;Property Calculator&apos;!$B$70,0,SUMIF($B$4:$B$603,K5,$E$4:$E$603)+SUMIF($B$4:$B$603,K5,$H$4:$H$603))</f><v>17159.524273113737</v></c><c r="N5" s="72"><f>IF(K5&gt;&apos;Property Calculator&apos;!$B$70,0,SUMIF($B$4:$B$603,K5,$G$4:$G$603))</f><v>6328.7298746147635</v></c><c r="O5" s="72"><f>IF(K5&gt;&apos;Property Calculator&apos;!$B$70,0,SUMIF($B$4:$B$603,K5,$J$4:$J$603))</f><v>0</v></c><c r="P5" s="72"><f>IF(K5&gt;&apos;Property Calculator&apos;!$B$70,0,IFERROR(INDEX($I$4:$I$603,K5*12),0))</f><v>306004.90295920556</v></c><c r="Q5" t="str"><f>IF(K5&lt;=&apos;Property Calculator&apos;!$B$70,&quot;yes&quot;,&quot;—&quot;)</f><v>yes</v></c></row><row r="6" spans="1:17" x14ac:dyDescent="0.25"><c r="A6"><v>3</v></c><c r="B6"><f t="shared" si="0"/>&lt;v&gt;1&lt;/v&gt;&lt;/c&gt;&lt;c r=&quot;C6&quot; s=&quot;37&quot;&gt;&lt;f&gt;IF(A6&gt;&apos;Property Calculator&apos;!$B$70*12,0,IF(AND(&apos;Property Calculator&apos;!$B$72=1,B6&gt;&apos;Property Calculator&apos;!$B$69),&apos;Property Calculator&apos;!$B$73,&apos;Property Calculator&apos;!$B$65))</f><v>3.5000000000000003E-2</v></c><c r="D6" s="72"><f>IF(A6&gt;&apos;Property Calculator&apos;!$B$70*12,0,I5)</f><v>317441.21339736605</v></c><c r="E6" s="72"><f>IF(OR(A6&gt;&apos;Property Calculator&apos;!$B$70*12,D6&lt;=0),0,IF(AND(&apos;Property Calculator&apos;!$B$72=1,B6&gt;&apos;Property Calculator&apos;!$B$69),MIN(D6*C6/12+&apos;Property Calculator&apos;!$B$74/12,D6*(1+C6/12)),MIN(&apos;Property Calculator&apos;!$B$67,D6*(1+C6/12))))</f><v>1429.9603560928113</v></c><c r="F6" s="72"><f>IF(OR(A6&gt;&apos;Property Calculator&apos;!$B$70*12,D6&lt;=0),0,D6*C6/12)</f><v>925.87020574231781</v></c><c r="G6" s="72"><f>IF(OR(A6&gt;&apos;Property Calculator&apos;!$B$70*12,D6&lt;=0),0,MAX(0,MIN(D6,E6-F6)))</f><v>504.09015035049345</v></c><c r="H6" s="126"><v>0</v></c><c r="I6" s="72"><f>IF(A6&gt;&apos;Property Calculator&apos;!$B$70*12,0,MAX(0,D6-G6-J6))</f><v>316937.12324701558</v></c><c r="J6" s="72"><f>IF(OR(A6&gt;&apos;Property Calculator&apos;!$B$70*12,D6&lt;=0),0,MIN(H6,MAX(0,D6-G6)))</f><v>0</v></c><c r="K6"><v>3</v></c><c r="L6" s="72"><f>IF(K6&gt;&apos;Property Calculator&apos;!$B$70,0,SUMIF($B$4:$B$603,K6,$F$4:$F$603))</f><v>10605.700760840791</v></c><c r="M6" s="72"><f>IF(K6&gt;&apos;Property Calculator&apos;!$B$70,0,SUMIF($B$4:$B$603,K6,$E$4:$E$603)+SUMIF($B$4:$B$603,K6,$H$4:$H$603))</f><v>17159.524273113737</v></c><c r="N6" s="72"><f>IF(K6&gt;&apos;Property Calculator&apos;!$B$70,0,SUMIF($B$4:$B$603,K6,$G$4:$G$603))</f><v>6553.8235122729448</v></c><c r="O6" s="72"><f>IF(K6&gt;&apos;Property Calculator&apos;!$B$70,0,SUMIF($B$4:$B$603,K6,$J$4:$J$603))</f><v>0</v></c><c r="P6" s="72"><f>IF(K6&gt;&apos;Property Calculator&apos;!$B$70,0,IFERROR(INDEX($I$4:$I$603,K6*12),0))</f><v>299451.07944693259</v></c><c r="Q6" t="str"><f>IF(K6&lt;=&apos;Property Calculator&apos;!$B$70,&quot;yes&quot;,&quot;—&quot;)</f><v>yes</v></c></row><row r="7" spans="1:17" x14ac:dyDescent="0.25"><c r="A7"><v>4</v></c><c r="B7"><f t="shared" si="0"/>&lt;v&gt;1&lt;/v&gt;&lt;/c&gt;&lt;c r=&quot;C7&quot; s=&quot;37&quot;&gt;&lt;f&gt;IF(A7&gt;&apos;Property Calculator&apos;!$B$70*12,0,IF(AND(&apos;Property Calculator&apos;!$B$72=1,B7&gt;&apos;Property Calculator&apos;!$B$69),&apos;Property Calculator&apos;!$B$73,&apos;Property Calculator&apos;!$B$65))</f><v>3.5000000000000003E-2</v></c><c r="D7" s="72"><f>IF(A7&gt;&apos;Property Calculator&apos;!$B$70*12,0,I6)</f><v>316937.12324701558</v></c><c r="E7" s="72"><f>IF(OR(A7&gt;&apos;Property Calculator&apos;!$B$70*12,D7&lt;=0),0,IF(AND(&apos;Property Calculator&apos;!$B$72=1,B7&gt;&apos;Property Calculator&apos;!$B$69),MIN(D7*C7/12+&apos;Property Calculator&apos;!$B$74/12,D7*(1+C7/12)),MIN(&apos;Property Calculator&apos;!$B$67,D7*(1+C7/12))))</f><v>1429.9603560928113</v></c><c r="F7" s="72"><f>IF(OR(A7&gt;&apos;Property Calculator&apos;!$B$70*12,D7&lt;=0),0,D7*C7/12)</f><v>924.39994280379551</v></c><c r="G7" s="72"><f>IF(OR(A7&gt;&apos;Property Calculator&apos;!$B$70*12,D7&lt;=0),0,MAX(0,MIN(D7,E7-F7)))</f><v>505.56041328901574</v></c><c r="H7" s="126"><v>0</v></c><c r="I7" s="72"><f>IF(A7&gt;&apos;Property Calculator&apos;!$B$70*12,0,MAX(0,D7-G7-J7))</f><v>316431.56283372658</v></c><c r="J7" s="72"><f>IF(OR(A7&gt;&apos;Property Calculator&apos;!$B$70*12,D7&lt;=0),0,MIN(H7,MAX(0,D7-G7)))</f><v>0</v></c><c r="K7"><v>4</v></c><c r="L7" s="72"><f>IF(K7&gt;&apos;Property Calculator&apos;!$B$70,0,SUMIF($B$4:$B$603,K7,$F$4:$F$603))</f><v>10372.601228363583</v></c><c r="M7" s="72"><f>IF(K7&gt;&apos;Property Calculator&apos;!$B$70,0,SUMIF($B$4:$B$603,K7,$E$4:$E$603)+SUMIF($B$4:$B$603,K7,$H$4:$H$603))</f><v>17159.524273113737</v></c><c r="N7" s="72"><f>IF(K7&gt;&apos;Property Calculator&apos;!$B$70,0,SUMIF($B$4:$B$603,K7,$G$4:$G$603))</f><v>6786.9230447501504</v></c><c r="O7" s="72"><f>IF(K7&gt;&apos;Property Calculator&apos;!$B$70,0,SUMIF($B$4:$B$603,K7,$J$4:$J$603))</f><v>0</v></c><c r="P7" s="72"><f>IF(K7&gt;&apos;Property Calculator&apos;!$B$70,0,IFERROR(INDEX($I$4:$I$603,K7*12),0))</f><v>292664.15640218242</v></c><c r="Q7" t="str"><f>IF(K7&lt;=&apos;Property Calculator&apos;!$B$70,&quot;yes&quot;,&quot;—&quot;)</f><v>yes</v></c></row><row r="8" spans="1:17" x14ac:dyDescent="0.25"><c r="A8"><v>5</v></c><c r="B8"><f t="shared" si="0"/>&lt;v&gt;1&lt;/v&gt;&lt;/c&gt;&lt;c r=&quot;C8&quot; s=&quot;37&quot;&gt;&lt;f&gt;IF(A8&gt;&apos;Property Calculator&apos;!$B$70*12,0,IF(AND(&apos;Property Calculator&apos;!$B$72=1,B8&gt;&apos;Property Calculator&apos;!$B$69),&apos;Property Calculator&apos;!$B$73,&apos;Property Calculator&apos;!$B$65))</f><v>3.5000000000000003E-2</v></c><c r="D8" s="72"><f>IF(A8&gt;&apos;Property Calculator&apos;!$B$70*12,0,I7)</f><v>316431.56283372658</v></c><c r="E8" s="72"><f>IF(OR(A8&gt;&apos;Property Calculator&apos;!$B$70*12,D8&lt;=0),0,IF(AND(&apos;Property Calculator&apos;!$B$72=1,B8&gt;&apos;Property Calculator&apos;!$B$69),MIN(D8*C8/12+&apos;Property Calculator&apos;!$B$74/12,D8*(1+C8/12)),MIN(&apos;Property Calculator&apos;!$B$67,D8*(1+C8/12))))</f><v>1429.9603560928113</v></c><c r="F8" s="72"><f>IF(OR(A8&gt;&apos;Property Calculator&apos;!$B$70*12,D8&lt;=0),0,D8*C8/12)</f><v>922.92539159836917</v></c><c r="G8" s="72"><f>IF(OR(A8&gt;&apos;Property Calculator&apos;!$B$70*12,D8&lt;=0),0,MAX(0,MIN(D8,E8-F8)))</f><v>507.03496449444208</v></c><c r="H8" s="126"><v>0</v></c><c r="I8" s="72"><f>IF(A8&gt;&apos;Property Calculator&apos;!$B$70*12,0,MAX(0,D8-G8-J8))</f><v>315924.52786923212</v></c><c r="J8" s="72"><f>IF(OR(A8&gt;&apos;Property Calculator&apos;!$B$70*12,D8&lt;=0),0,MIN(H8,MAX(0,D8-G8)))</f><v>0</v></c><c r="K8"><v>5</v></c><c r="L8" s="72"><f>IF(K8&gt;&apos;Property Calculator&apos;!$B$70,0,SUMIF($B$4:$B$603,K8,$F$4:$F$603))</f><v>10131.211055783033</v></c><c r="M8" s="72"><f>IF(K8&gt;&apos;Property Calculator&apos;!$B$70,0,SUMIF($B$4:$B$603,K8,$E$4:$E$603)+SUMIF($B$4:$B$603,K8,$H$4:$H$603))</f><v>17159.524273113737</v></c><c r="N8" s="72"><f>IF(K8&gt;&apos;Property Calculator&apos;!$B$70,0,SUMIF($B$4:$B$603,K8,$G$4:$G$603))</f><v>7028.313217330704</v></c><c r="O8" s="72"><f>IF(K8&gt;&apos;Property Calculator&apos;!$B$70,0,SUMIF($B$4:$B$603,K8,$J$4:$J$603))</f><v>0</v></c><c r="P8" s="72"><f>IF(K8&gt;&apos;Property Calculator&apos;!$B$70,0,IFERROR(INDEX($I$4:$I$603,K8*12),0))</f><v>285635.84318485169</v></c><c r="Q8" t="str"><f>IF(K8&lt;=&apos;Property Calculator&apos;!$B$70,&quot;yes&quot;,&quot;—&quot;)</f><v>yes</v></c></row><row r="9" spans="1:17" x14ac:dyDescent="0.25"><c r="A9"><v>6</v></c><c r="B9"><f t="shared" si="0"/>&lt;v&gt;1&lt;/v&gt;&lt;/c&gt;&lt;c r=&quot;C9&quot; s=&quot;37&quot;&gt;&lt;f&gt;IF(A9&gt;&apos;Property Calculator&apos;!$B$70*12,0,IF(AND(&apos;Property Calculator&apos;!$B$72=1,B9&gt;&apos;Property Calculator&apos;!$B$69),&apos;Property Calculator&apos;!$B$73,&apos;Property Calculator&apos;!$B$65))</f><v>3.5000000000000003E-2</v></c><c r="D9" s="72"><f>IF(A9&gt;&apos;Property Calculator&apos;!$B$70*12,0,I8)</f><v>315924.52786923212</v></c><c r="E9" s="72"><f>IF(OR(A9&gt;&apos;Property Calculator&apos;!$B$70*12,D9&lt;=0),0,IF(AND(&apos;Property Calculator&apos;!$B$72=1,B9&gt;&apos;Property Calculator&apos;!$B$69),MIN(D9*C9/12+&apos;Property Calculator&apos;!$B$74/12,D9*(1+C9/12)),MIN(&apos;Property Calculator&apos;!$B$67,D9*(1+C9/12))))</f><v>1429.9603560928113</v></c><c r="F9" s="72"><f>IF(OR(A9&gt;&apos;Property Calculator&apos;!$B$70*12,D9&lt;=0),0,D9*C9/12)</f><v>921.44653961859376</v></c><c r="G9" s="72"><f>IF(OR(A9&gt;&apos;Property Calculator&apos;!$B$70*12,D9&lt;=0),0,MAX(0,MIN(D9,E9-F9)))</f><v>508.51381647421749</v></c><c r="H9" s="126"><v>0</v></c><c r="I9" s="72"><f>IF(A9&gt;&apos;Property Calculator&apos;!$B$70*12,0,MAX(0,D9-G9-J9))</f><v>315416.01405275788</v></c><c r="J9" s="72"><f>IF(OR(A9&gt;&apos;Property Calculator&apos;!$B$70*12,D9&lt;=0),0,MIN(H9,MAX(0,D9-G9)))</f><v>0</v></c><c r="K9"><v>6</v></c><c r="L9" s="72"><f>IF(K9&gt;&apos;Property Calculator&apos;!$B$70,0,SUMIF($B$4:$B$603,K9,$F$4:$F$603))</f><v>9881.2353702926885</v></c><c r="M9" s="72"><f>IF(K9&gt;&apos;Property Calculator&apos;!$B$70,0,SUMIF($B$4:$B$603,K9,$E$4:$E$603)+SUMIF($B$4:$B$603,K9,$H$4:$H$603))</f><v>17159.524273113737</v></c><c r="N9" s="72"><f>IF(K9&gt;&apos;Property Calculator&apos;!$B$70,0,SUMIF($B$4:$B$603,K9,$G$4:$G$603))</f><v>7278.2889028210457</v></c><c r="O9" s="72"><f>IF(K9&gt;&apos;Property Calculator&apos;!$B$70,0,SUMIF($B$4:$B$603,K9,$J$4:$J$603))</f><v>0</v></c><c r="P9" s="72"><f>IF(K9&gt;&apos;Property Calculator&apos;!$B$70,0,IFERROR(INDEX($I$4:$I$603,K9*12),0))</f><v>278357.55428203067</v></c><c r="Q9" t="str"><f>IF(K9&lt;=&apos;Property Calculator&apos;!$B$70,&quot;yes&quot;,&quot;—&quot;)</f><v>yes</v></c></row><row r="10" spans="1:17" x14ac:dyDescent="0.25"><c r="A10"><v>7</v></c><c r="B10"><f t="shared" si="0"/>&lt;v&gt;1&lt;/v&gt;&lt;/c&gt;&lt;c r=&quot;C10&quot; s=&quot;37&quot;&gt;&lt;f&gt;IF(A10&gt;&apos;Property Calculator&apos;!$B$70*12,0,IF(AND(&apos;Property Calculator&apos;!$B$72=1,B10&gt;&apos;Property Calculator&apos;!$B$69),&apos;Property Calculator&apos;!$B$73,&apos;Property Calculator&apos;!$B$65))</f><v>3.5000000000000003E-2</v></c><c r="D10" s="72"><f>IF(A10&gt;&apos;Property Calculator&apos;!$B$70*12,0,I9)</f><v>315416.01405275788</v></c><c r="E10" s="72"><f>IF(OR(A10&gt;&apos;Property Calculator&apos;!$B$70*12,D10&lt;=0),0,IF(AND(&apos;Property Calculator&apos;!$B$72=1,B10&gt;&apos;Property Calculator&apos;!$B$69),MIN(D10*C10/12+&apos;Property Calculator&apos;!$B$74/12,D10*(1+C10/12)),MIN(&apos;Property Calculator&apos;!$B$67,D10*(1+C10/12))))</f><v>1429.9603560928113</v></c><c r="F10" s="72"><f>IF(OR(A10&gt;&apos;Property Calculator&apos;!$B$70*12,D10&lt;=0),0,D10*C10/12)</f><v>919.96337432054395</v></c><c r="G10" s="72"><f>IF(OR(A10&gt;&apos;Property Calculator&apos;!$B$70*12,D10&lt;=0),0,MAX(0,MIN(D10,E10-F10)))</f><v>509.9969817722673</v></c><c r="H10" s="126"><v>0</v></c><c r="I10" s="72"><f>IF(A10&gt;&apos;Property Calculator&apos;!$B$70*12,0,MAX(0,D10-G10-J10))</f><v>314906.01707098563</v></c><c r="J10" s="72"><f>IF(OR(A10&gt;&apos;Property Calculator&apos;!$B$70*12,D10&lt;=0),0,MIN(H10,MAX(0,D10-G10)))</f><v>0</v></c><c r="K10"><v>7</v></c><c r="L10" s="72"><f>IF(K10&gt;&apos;Property Calculator&apos;!$B$70,0,SUMIF($B$4:$B$603,K10,$F$4:$F$603))</f><v>9622.3688113588723</v></c><c r="M10" s="72"><f>IF(K10&gt;&apos;Property Calculator&apos;!$B$70,0,SUMIF($B$4:$B$603,K10,$E$4:$E$603)+SUMIF($B$4:$B$603,K10,$H$4:$H$603))</f><v>17159.524273113737</v></c><c r="N10" s="72"><f>IF(K10&gt;&apos;Property Calculator&apos;!$B$70,0,SUMIF($B$4:$B$603,K10,$G$4:$G$603))</f><v>7537.1554617548627</v></c><c r="O10" s="72"><f>IF(K10&gt;&apos;Property Calculator&apos;!$B$70,0,SUMIF($B$4:$B$603,K10,$J$4:$J$603))</f><v>0</v></c><c r="P10" s="72"><f>IF(K10&gt;&apos;Property Calculator&apos;!$B$70,0,IFERROR(INDEX($I$4:$I$603,K10*12),0))</f><v>270820.39882027579</v></c><c r="Q10" t="str"><f>IF(K10&lt;=&apos;Property Calculator&apos;!$B$70,&quot;yes&quot;,&quot;—&quot;)</f><v>yes</v></c></row><row r="11" spans="1:17" x14ac:dyDescent="0.25"><c r="A11"><v>8</v></c><c r="B11"><f t="shared" si="0"/>&lt;v&gt;1&lt;/v&gt;&lt;/c&gt;&lt;c r=&quot;C11&quot; s=&quot;37&quot;&gt;&lt;f&gt;IF(A11&gt;&apos;Property Calculator&apos;!$B$70*12,0,IF(AND(&apos;Property Calculator&apos;!$B$72=1,B11&gt;&apos;Property Calculator&apos;!$B$69),&apos;Property Calculator&apos;!$B$73,&apos;Property Calculator&apos;!$B$65))</f><v>3.5000000000000003E-2</v></c><c r="D11" s="72"><f>IF(A11&gt;&apos;Property Calculator&apos;!$B$70*12,0,I10)</f><v>314906.01707098563</v></c><c r="E11" s="72"><f>IF(OR(A11&gt;&apos;Property Calculator&apos;!$B$70*12,D11&lt;=0),0,IF(AND(&apos;Property Calculator&apos;!$B$72=1,B11&gt;&apos;Property Calculator&apos;!$B$69),MIN(D11*C11/12+&apos;Property Calculator&apos;!$B$74/12,D11*(1+C11/12)),MIN(&apos;Property Calculator&apos;!$B$67,D11*(1+C11/12))))</f><v>1429.9603560928113</v></c><c r="F11" s="72"><f>IF(OR(A11&gt;&apos;Property Calculator&apos;!$B$70*12,D11&lt;=0),0,D11*C11/12)</f><v>918.47588312370817</v></c><c r="G11" s="72"><f>IF(OR(A11&gt;&apos;Property Calculator&apos;!$B$70*12,D11&lt;=0),0,MAX(0,MIN(D11,E11-F11)))</f><v>511.48447296910308</v></c><c r="H11" s="126"><v>0</v></c><c r="I11" s="72"><f>IF(A11&gt;&apos;Property Calculator&apos;!$B$70*12,0,MAX(0,D11-G11-J11))</f><v>314394.53259801655</v></c><c r="J11" s="72"><f>IF(OR(A11&gt;&apos;Property Calculator&apos;!$B$70*12,D11&lt;=0),0,MIN(H11,MAX(0,D11-G11)))</f><v>0</v></c><c r="K11"><v>8</v></c><c r="L11" s="72"><f>IF(K11&gt;&apos;Property Calculator&apos;!$B$70,0,SUMIF($B$4:$B$603,K11,$F$4:$F$603))</f><v>9354.2951577041713</v></c><c r="M11" s="72"><f>IF(K11&gt;&apos;Property Calculator&apos;!$B$70,0,SUMIF($B$4:$B$603,K11,$E$4:$E$603)+SUMIF($B$4:$B$603,K11,$H$4:$H$603))</f><v>17159.524273113737</v></c><c r="N11" s="72"><f>IF(K11&gt;&apos;Property Calculator&apos;!$B$70,0,SUMIF($B$4:$B$603,K11,$G$4:$G$603))</f><v>7805.229115409561</v></c><c r="O11" s="72"><f>IF(K11&gt;&apos;Property Calculator&apos;!$B$70,0,SUMIF($B$4:$B$603,K11,$J$4:$J$603))</f><v>0</v></c><c r="P11" s="72"><f>IF(K11&gt;&apos;Property Calculator&apos;!$B$70,0,IFERROR(INDEX($I$4:$I$603,K11*12),0))</f><v>263015.16970486619</v></c><c r="Q11" t="str"><f>IF(K11&lt;=&apos;Property Calculator&apos;!$B$70,&quot;yes&quot;,&quot;—&quot;)</f><v>yes</v></c></row><row r="12" spans="1:17" x14ac:dyDescent="0.25"><c r="A12"><v>9</v></c><c r="B12"><f t="shared" si="0"/>&lt;v&gt;1&lt;/v&gt;&lt;/c&gt;&lt;c r=&quot;C12&quot; s=&quot;37&quot;&gt;&lt;f&gt;IF(A12&gt;&apos;Property Calculator&apos;!$B$70*12,0,IF(AND(&apos;Property Calculator&apos;!$B$72=1,B12&gt;&apos;Property Calculator&apos;!$B$69),&apos;Property Calculator&apos;!$B$73,&apos;Property Calculator&apos;!$B$65))</f><v>3.5000000000000003E-2</v></c><c r="D12" s="72"><f>IF(A12&gt;&apos;Property Calculator&apos;!$B$70*12,0,I11)</f><v>314394.53259801655</v></c><c r="E12" s="72"><f>IF(OR(A12&gt;&apos;Property Calculator&apos;!$B$70*12,D12&lt;=0),0,IF(AND(&apos;Property Calculator&apos;!$B$72=1,B12&gt;&apos;Property Calculator&apos;!$B$69),MIN(D12*C12/12+&apos;Property Calculator&apos;!$B$74/12,D12*(1+C12/12)),MIN(&apos;Property Calculator&apos;!$B$67,D12*(1+C12/12))))</f><v>1429.9603560928113</v></c><c r="F12" s="72"><f>IF(OR(A12&gt;&apos;Property Calculator&apos;!$B$70*12,D12&lt;=0),0,D12*C12/12)</f><v>916.98405341088164</v></c><c r="G12" s="72"><f>IF(OR(A12&gt;&apos;Property Calculator&apos;!$B$70*12,D12&lt;=0),0,MAX(0,MIN(D12,E12-F12)))</f><v>512.97630268192961</v></c><c r="H12" s="126"><v>0</v></c><c r="I12" s="72"><f>IF(A12&gt;&apos;Property Calculator&apos;!$B$70*12,0,MAX(0,D12-G12-J12))</f><v>313881.55629533459</v></c><c r="J12" s="72"><f>IF(OR(A12&gt;&apos;Property Calculator&apos;!$B$70*12,D12&lt;=0),0,MIN(H12,MAX(0,D12-G12)))</f><v>0</v></c><c r="K12"><v>9</v></c><c r="L12" s="72"><f>IF(K12&gt;&apos;Property Calculator&apos;!$B$70,0,SUMIF($B$4:$B$603,K12,$F$4:$F$603))</f><v>9076.6869410238814</v></c><c r="M12" s="72"><f>IF(K12&gt;&apos;Property Calculator&apos;!$B$70,0,SUMIF($B$4:$B$603,K12,$E$4:$E$603)+SUMIF($B$4:$B$603,K12,$H$4:$H$603))</f><v>17159.524273113737</v></c><c r="N12" s="72"><f>IF(K12&gt;&apos;Property Calculator&apos;!$B$70,0,SUMIF($B$4:$B$603,K12,$G$4:$G$603))</f><v>8082.8373320898536</v></c><c r="O12" s="72"><f>IF(K12&gt;&apos;Property Calculator&apos;!$B$70,0,SUMIF($B$4:$B$603,K12,$J$4:$J$603))</f><v>0</v></c><c r="P12" s="72"><f>IF(K12&gt;&apos;Property Calculator&apos;!$B$70,0,IFERROR(INDEX($I$4:$I$603,K12*12),0))</f><v>254932.33237277635</v></c><c r="Q12" t="str"><f>IF(K12&lt;=&apos;Property Calculator&apos;!$B$70,&quot;yes&quot;,&quot;—&quot;)</f><v>yes</v></c></row><row r="13" spans="1:17" x14ac:dyDescent="0.25"><c r="A13"><v>10</v></c><c r="B13"><f t="shared" si="0"/>&lt;v&gt;1&lt;/v&gt;&lt;/c&gt;&lt;c r=&quot;C13&quot; s=&quot;37&quot;&gt;&lt;f&gt;IF(A13&gt;&apos;Property Calculator&apos;!$B$70*12,0,IF(AND(&apos;Property Calculator&apos;!$B$72=1,B13&gt;&apos;Property Calculator&apos;!$B$69),&apos;Property Calculator&apos;!$B$73,&apos;Property Calculator&apos;!$B$65))</f><v>3.5000000000000003E-2</v></c><c r="D13" s="72"><f>IF(A13&gt;&apos;Property Calculator&apos;!$B$70*12,0,I12)</f><v>313881.55629533459</v></c><c r="E13" s="72"><f>IF(OR(A13&gt;&apos;Property Calculator&apos;!$B$70*12,D13&lt;=0),0,IF(AND(&apos;Property Calculator&apos;!$B$72=1,B13&gt;&apos;Property Calculator&apos;!$B$69),MIN(D13*C13/12+&apos;Property Calculator&apos;!$B$74/12,D13*(1+C13/12)),MIN(&apos;Property Calculator&apos;!$B$67,D13*(1+C13/12))))</f><v>1429.9603560928113</v></c><c r="F13" s="72"><f>IF(OR(A13&gt;&apos;Property Calculator&apos;!$B$70*12,D13&lt;=0),0,D13*C13/12)</f><v>915.48787252805926</v></c><c r="G13" s="72"><f>IF(OR(A13&gt;&apos;Property Calculator&apos;!$B$70*12,D13&lt;=0),0,MAX(0,MIN(D13,E13-F13)))</f><v>514.472483564752</v></c><c r="H13" s="126"><v>0</v></c><c r="I13" s="72"><f>IF(A13&gt;&apos;Property Calculator&apos;!$B$70*12,0,MAX(0,D13-G13-J13))</f><v>313367.08381176984</v></c><c r="J13" s="72"><f>IF(OR(A13&gt;&apos;Property Calculator&apos;!$B$70*12,D13&lt;=0),0,MIN(H13,MAX(0,D13-G13)))</f><v>0</v></c><c r="K13"><v>10</v></c><c r="L13" s="72"><f>IF(K13&gt;&apos;Property Calculator&apos;!$B$70,0,SUMIF($B$4:$B$603,K13,$F$4:$F$603))</f><v>8789.2050459635084</v></c><c r="M13" s="72"><f>IF(K13&gt;&apos;Property Calculator&apos;!$B$70,0,SUMIF($B$4:$B$603,K13,$E$4:$E$603)+SUMIF($B$4:$B$603,K13,$H$4:$H$603))</f><v>17159.524273113737</v></c><c r="N13" s="72"><f>IF(K13&gt;&apos;Property Calculator&apos;!$B$70,0,SUMIF($B$4:$B$603,K13,$G$4:$G$603))</f><v>8370.3192271502303</v></c><c r="O13" s="72"><f>IF(K13&gt;&apos;Property Calculator&apos;!$B$70,0,SUMIF($B$4:$B$603,K13,$J$4:$J$603))</f><v>0</v></c><c r="P13" s="72"><f>IF(K13&gt;&apos;Property Calculator&apos;!$B$70,0,IFERROR(INDEX($I$4:$I$603,K13*12),0))</f><v>246562.01314562609</v></c><c r="Q13" t="str"><f>IF(K13&lt;=&apos;Property Calculator&apos;!$B$70,&quot;yes&quot;,&quot;—&quot;)</f><v>yes</v></c></row><row r="14" spans="1:17" x14ac:dyDescent="0.25"><c r="A14"><v>11</v></c><c r="B14"><f t="shared" si="0"/>&lt;v&gt;1&lt;/v&gt;&lt;/c&gt;&lt;c r=&quot;C14&quot; s=&quot;37&quot;&gt;&lt;f&gt;IF(A14&gt;&apos;Property Calculator&apos;!$B$70*12,0,IF(AND(&apos;Property Calculator&apos;!$B$72=1,B14&gt;&apos;Property Calculator&apos;!$B$69),&apos;Property Calculator&apos;!$B$73,&apos;Property Calculator&apos;!$B$65))</f><v>3.5000000000000003E-2</v></c><c r="D14" s="72"><f>IF(A14&gt;&apos;Property Calculator&apos;!$B$70*12,0,I13)</f><v>313367.08381176984</v></c><c r="E14" s="72"><f>IF(OR(A14&gt;&apos;Property Calculator&apos;!$B$70*12,D14&lt;=0),0,IF(AND(&apos;Property Calculator&apos;!$B$72=1,B14&gt;&apos;Property Calculator&apos;!$B$69),MIN(D14*C14/12+&apos;Property Calculator&apos;!$B$74/12,D14*(1+C14/12)),MIN(&apos;Property Calculator&apos;!$B$67,D14*(1+C14/12))))</f><v>1429.9603560928113</v></c><c r="F14" s="72"><f>IF(OR(A14&gt;&apos;Property Calculator&apos;!$B$70*12,D14&lt;=0),0,D14*C14/12)</f><v>913.98732778432884</v></c><c r="G14" s="72"><f>IF(OR(A14&gt;&apos;Property Calculator&apos;!$B$70*12,D14&lt;=0),0,MAX(0,MIN(D14,E14-F14)))</f><v>515.97302830848241</v></c><c r="H14" s="126"><v>0</v></c><c r="I14" s="72"><f>IF(A14&gt;&apos;Property Calculator&apos;!$B$70*12,0,MAX(0,D14-G14-J14))</f><v>312851.11078346136</v></c><c r="J14" s="72"><f>IF(OR(A14&gt;&apos;Property Calculator&apos;!$B$70*12,D14&lt;=0),0,MIN(H14,MAX(0,D14-G14)))</f><v>0</v></c><c r="K14"><v>11</v></c><c r="L14" s="72"><f>IF(K14&gt;&apos;Property Calculator&apos;!$B$70,0,SUMIF($B$4:$B$603,K14,$F$4:$F$603))</f><v>8491.4982958687015</v></c><c r="M14" s="72"><f>IF(K14&gt;&apos;Property Calculator&apos;!$B$70,0,SUMIF($B$4:$B$603,K14,$E$4:$E$603)+SUMIF($B$4:$B$603,K14,$H$4:$H$603))</f><v>17159.524273113737</v></c><c r="N14" s="72"><f>IF(K14&gt;&apos;Property Calculator&apos;!$B$70,0,SUMIF($B$4:$B$603,K14,$G$4:$G$603))</f><v>8668.0259772450318</v></c><c r="O14" s="72"><f>IF(K14&gt;&apos;Property Calculator&apos;!$B$70,0,SUMIF($B$4:$B$603,K14,$J$4:$J$603))</f><v>0</v></c><c r="P14" s="72"><f>IF(K14&gt;&apos;Property Calculator&apos;!$B$70,0,IFERROR(INDEX($I$4:$I$603,K14*12),0))</f><v>237893.98716838105</v></c><c r="Q14" t="str"><f>IF(K14&lt;=&apos;Property Calculator&apos;!$B$70,&quot;yes&quot;,&quot;—&quot;)</f><v>yes</v></c></row><row r="15" spans="1:17" x14ac:dyDescent="0.25"><c r="A15"><v>12</v></c><c r="B15"><f t="shared" si="0"/>&lt;v&gt;1&lt;/v&gt;&lt;/c&gt;&lt;c r=&quot;C15&quot; s=&quot;37&quot;&gt;&lt;f&gt;IF(A15&gt;&apos;Property Calculator&apos;!$B$70*12,0,IF(AND(&apos;Property Calculator&apos;!$B$72=1,B15&gt;&apos;Property Calculator&apos;!$B$69),&apos;Property Calculator&apos;!$B$73,&apos;Property Calculator&apos;!$B$65))</f><v>3.5000000000000003E-2</v></c><c r="D15" s="72"><f>IF(A15&gt;&apos;Property Calculator&apos;!$B$70*12,0,I14)</f><v>312851.11078346136</v></c><c r="E15" s="72"><f>IF(OR(A15&gt;&apos;Property Calculator&apos;!$B$70*12,D15&lt;=0),0,IF(AND(&apos;Property Calculator&apos;!$B$72=1,B15&gt;&apos;Property Calculator&apos;!$B$69),MIN(D15*C15/12+&apos;Property Calculator&apos;!$B$74/12,D15*(1+C15/12)),MIN(&apos;Property Calculator&apos;!$B$67,D15*(1+C15/12))))</f><v>1429.9603560928113</v></c><c r="F15" s="72"><f>IF(OR(A15&gt;&apos;Property Calculator&apos;!$B$70*12,D15&lt;=0),0,D15*C15/12)</f><v>912.48240645176247</v></c><c r="G15" s="72"><f>IF(OR(A15&gt;&apos;Property Calculator&apos;!$B$70*12,D15&lt;=0),0,MAX(0,MIN(D15,E15-F15)))</f><v>517.47794964104878</v></c><c r="H15" s="126"><v>0</v></c><c r="I15" s="72"><f>IF(A15&gt;&apos;Property Calculator&apos;!$B$70*12,0,MAX(0,D15-G15-J15))</f><v>312333.6328338203</v></c><c r="J15" s="72"><f>IF(OR(A15&gt;&apos;Property Calculator&apos;!$B$70*12,D15&lt;=0),0,MIN(H15,MAX(0,D15-G15)))</f><v>0</v></c><c r="K15"><v>12</v></c><c r="L15" s="72"><f>IF(K15&gt;&apos;Property Calculator&apos;!$B$70,0,SUMIF($B$4:$B$603,K15,$F$4:$F$603))</f><v>8183.2030238015786</v></c><c r="M15" s="72"><f>IF(K15&gt;&apos;Property Calculator&apos;!$B$70,0,SUMIF($B$4:$B$603,K15,$E$4:$E$603)+SUMIF($B$4:$B$603,K15,$H$4:$H$603))</f><v>17159.524273113737</v></c><c r="N15" s="72"><f>IF(K15&gt;&apos;Property Calculator&apos;!$B$70,0,SUMIF($B$4:$B$603,K15,$G$4:$G$603))</f><v>8976.3212493121591</v></c><c r="O15" s="72"><f>IF(K15&gt;&apos;Property Calculator&apos;!$B$70,0,SUMIF($B$4:$B$603,K15,$J$4:$J$603))</f><v>0</v></c><c r="P15" s="72"><f>IF(K15&gt;&apos;Property Calculator&apos;!$B$70,0,IFERROR(INDEX($I$4:$I$603,K15*12),0))</f><v>228917.66591906891</v></c><c r="Q15" t="str"><f>IF(K15&lt;=&apos;Property Calculator&apos;!$B$70,&quot;yes&quot;,&quot;—&quot;)</f><v>yes</v></c></row><row r="16" spans="1:17" x14ac:dyDescent="0.25"><c r="A16"><v>13</v></c><c r="B16"><f t="shared" si="0"/>&lt;v&gt;2&lt;/v&gt;&lt;/c&gt;&lt;c r=&quot;C16&quot; s=&quot;37&quot;&gt;&lt;f&gt;IF(A16&gt;&apos;Property Calculator&apos;!$B$70*12,0,IF(AND(&apos;Property Calculator&apos;!$B$72=1,B16&gt;&apos;Property Calculator&apos;!$B$69),&apos;Property Calculator&apos;!$B$73,&apos;Property Calculator&apos;!$B$65))</f><v>3.5000000000000003E-2</v></c><c r="D16" s="72"><f>IF(A16&gt;&apos;Property Calculator&apos;!$B$70*12,0,I15)</f><v>312333.6328338203</v></c><c r="E16" s="72"><f>IF(OR(A16&gt;&apos;Property Calculator&apos;!$B$70*12,D16&lt;=0),0,IF(AND(&apos;Property Calculator&apos;!$B$72=1,B16&gt;&apos;Property Calculator&apos;!$B$69),MIN(D16*C16/12+&apos;Property Calculator&apos;!$B$74/12,D16*(1+C16/12)),MIN(&apos;Property Calculator&apos;!$B$67,D16*(1+C16/12))))</f><v>1429.9603560928113</v></c><c r="F16" s="72"><f>IF(OR(A16&gt;&apos;Property Calculator&apos;!$B$70*12,D16&lt;=0),0,D16*C16/12)</f><v>910.97309576530927</v></c><c r="G16" s="72"><f>IF(OR(A16&gt;&apos;Property Calculator&apos;!$B$70*12,D16&lt;=0),0,MAX(0,MIN(D16,E16-F16)))</f><v>518.98726032750199</v></c><c r="H16" s="126"><v>0</v></c><c r="I16" s="72"><f>IF(A16&gt;&apos;Property Calculator&apos;!$B$70*12,0,MAX(0,D16-G16-J16))</f><v>311814.6455734928</v></c><c r="J16" s="72"><f>IF(OR(A16&gt;&apos;Property Calculator&apos;!$B$70*12,D16&lt;=0),0,MIN(H16,MAX(0,D16-G16)))</f><v>0</v></c><c r="K16"><v>13</v></c><c r="L16" s="72"><f>IF(K16&gt;&apos;Property Calculator&apos;!$B$70,0,SUMIF($B$4:$B$603,K16,$F$4:$F$603))</f><v>7863.9426282993782</v></c><c r="M16" s="72"><f>IF(K16&gt;&apos;Property Calculator&apos;!$B$70,0,SUMIF($B$4:$B$603,K16,$E$4:$E$603)+SUMIF($B$4:$B$603,K16,$H$4:$H$603))</f><v>17159.524273113737</v></c><c r="N16" s="72"><f>IF(K16&gt;&apos;Property Calculator&apos;!$B$70,0,SUMIF($B$4:$B$603,K16,$G$4:$G$603))</f><v>9295.581644814356</v></c><c r="O16" s="72"><f>IF(K16&gt;&apos;Property Calculator&apos;!$B$70,0,SUMIF($B$4:$B$603,K16,$J$4:$J$603))</f><v>0</v></c><c r="P16" s="72"><f>IF(K16&gt;&apos;Property Calculator&apos;!$B$70,0,IFERROR(INDEX($I$4:$I$603,K16*12),0))</f><v>219622.08427425459</v></c><c r="Q16" t="str"><f>IF(K16&lt;=&apos;Property Calculator&apos;!$B$70,&quot;yes&quot;,&quot;—&quot;)</f><v>yes</v></c></row><row r="17" spans="1:17" x14ac:dyDescent="0.25"><c r="A17"><v>14</v></c><c r="B17"><f t="shared" si="0"/>&lt;v&gt;2&lt;/v&gt;&lt;/c&gt;&lt;c r=&quot;C17&quot; s=&quot;37&quot;&gt;&lt;f&gt;IF(A17&gt;&apos;Property Calculator&apos;!$B$70*12,0,IF(AND(&apos;Property Calculator&apos;!$B$72=1,B17&gt;&apos;Property Calculator&apos;!$B$69),&apos;Property Calculator&apos;!$B$73,&apos;Property Calculator&apos;!$B$65))</f><v>3.5000000000000003E-2</v></c><c r="D17" s="72"><f>IF(A17&gt;&apos;Property Calculator&apos;!$B$70*12,0,I16)</f><v>311814.6455734928</v></c><c r="E17" s="72"><f>IF(OR(A17&gt;&apos;Property Calculator&apos;!$B$70*12,D17&lt;=0),0,IF(AND(&apos;Property Calculator&apos;!$B$72=1,B17&gt;&apos;Property Calculator&apos;!$B$69),MIN(D17*C17/12+&apos;Property Calculator&apos;!$B$74/12,D17*(1+C17/12)),MIN(&apos;Property Calculator&apos;!$B$67,D17*(1+C17/12))))</f><v>1429.9603560928113</v></c><c r="F17" s="72"><f>IF(OR(A17&gt;&apos;Property Calculator&apos;!$B$70*12,D17&lt;=0),0,D17*C17/12)</f><v>909.45938292268738</v></c><c r="G17" s="72"><f>IF(OR(A17&gt;&apos;Property Calculator&apos;!$B$70*12,D17&lt;=0),0,MAX(0,MIN(D17,E17-F17)))</f><v>520.50097317012387</v></c><c r="H17" s="126"><v>0</v></c><c r="I17" s="72"><f>IF(A17&gt;&apos;Property Calculator&apos;!$B$70*12,0,MAX(0,D17-G17-J17))</f><v>311294.1446003227</v></c><c r="J17" s="72"><f>IF(OR(A17&gt;&apos;Property Calculator&apos;!$B$70*12,D17&lt;=0),0,MIN(H17,MAX(0,D17-G17)))</f><v>0</v></c><c r="K17"><v>14</v></c><c r="L17" s="72"><f>IF(K17&gt;&apos;Property Calculator&apos;!$B$70,0,SUMIF($B$4:$B$603,K17,$F$4:$F$603))</f><v>7533.3271133328408</v></c><c r="M17" s="72"><f>IF(K17&gt;&apos;Property Calculator&apos;!$B$70,0,SUMIF($B$4:$B$603,K17,$E$4:$E$603)+SUMIF($B$4:$B$603,K17,$H$4:$H$603))</f><v>17159.524273113737</v></c><c r="N17" s="72"><f>IF(K17&gt;&apos;Property Calculator&apos;!$B$70,0,SUMIF($B$4:$B$603,K17,$G$4:$G$603))</f><v>9626.1971597808933</v></c><c r="O17" s="72"><f>IF(K17&gt;&apos;Property Calculator&apos;!$B$70,0,SUMIF($B$4:$B$603,K17,$J$4:$J$603))</f><v>0</v></c><c r="P17" s="72"><f>IF(K17&gt;&apos;Property Calculator&apos;!$B$70,0,IFERROR(INDEX($I$4:$I$603,K17*12),0))</f><v>209995.88711447373</v></c><c r="Q17" t="str"><f>IF(K17&lt;=&apos;Property Calculator&apos;!$B$70,&quot;yes&quot;,&quot;—&quot;)</f><v>yes</v></c></row><row r="18" spans="1:17" x14ac:dyDescent="0.25"><c r="A18"><v>15</v></c><c r="B18"><f t="shared" si="0"/>&lt;v&gt;2&lt;/v&gt;&lt;/c&gt;&lt;c r=&quot;C18&quot; s=&quot;37&quot;&gt;&lt;f&gt;IF(A18&gt;&apos;Property Calculator&apos;!$B$70*12,0,IF(AND(&apos;Property Calculator&apos;!$B$72=1,B18&gt;&apos;Property Calculator&apos;!$B$69),&apos;Property Calculator&apos;!$B$73,&apos;Property Calculator&apos;!$B$65))</f><v>3.5000000000000003E-2</v></c><c r="D18" s="72"><f>IF(A18&gt;&apos;Property Calculator&apos;!$B$70*12,0,I17)</f><v>311294.1446003227</v></c><c r="E18" s="72"><f>IF(OR(A18&gt;&apos;Property Calculator&apos;!$B$70*12,D18&lt;=0),0,IF(AND(&apos;Property Calculator&apos;!$B$72=1,B18&gt;&apos;Property Calculator&apos;!$B$69),MIN(D18*C18/12+&apos;Property Calculator&apos;!$B$74/12,D18*(1+C18/12)),MIN(&apos;Property Calculator&apos;!$B$67,D18*(1+C18/12))))</f><v>1429.9603560928113</v></c><c r="F18" s="72"><f>IF(OR(A18&gt;&apos;Property Calculator&apos;!$B$70*12,D18&lt;=0),0,D18*C18/12)</f><v>907.94125508427453</v></c><c r="G18" s="72"><f>IF(OR(A18&gt;&apos;Property Calculator&apos;!$B$70*12,D18&lt;=0),0,MAX(0,MIN(D18,E18-F18)))</f><v>522.01910100853672</v></c><c r="H18" s="126"><v>0</v></c><c r="I18" s="72"><f>IF(A18&gt;&apos;Property Calculator&apos;!$B$70*12,0,MAX(0,D18-G18-J18))</f><v>310772.12549931416</v></c><c r="J18" s="72"><f>IF(OR(A18&gt;&apos;Property Calculator&apos;!$B$70*12,D18&lt;=0),0,MIN(H18,MAX(0,D18-G18)))</f><v>0</v></c><c r="K18"><v>15</v></c><c r="L18" s="72"><f>IF(K18&gt;&apos;Property Calculator&apos;!$B$70,0,SUMIF($B$4:$B$603,K18,$F$4:$F$603))</f><v>7190.9526119022803</v></c><c r="M18" s="72"><f>IF(K18&gt;&apos;Property Calculator&apos;!$B$70,0,SUMIF($B$4:$B$603,K18,$E$4:$E$603)+SUMIF($B$4:$B$603,K18,$H$4:$H$603))</f><v>17159.524273113737</v></c><c r="N18" s="72"><f>IF(K18&gt;&apos;Property Calculator&apos;!$B$70,0,SUMIF($B$4:$B$603,K18,$G$4:$G$603))</f><v>9968.5716612114556</v></c><c r="O18" s="72"><f>IF(K18&gt;&apos;Property Calculator&apos;!$B$70,0,SUMIF($B$4:$B$603,K18,$J$4:$J$603))</f><v>0</v></c><c r="P18" s="72"><f>IF(K18&gt;&apos;Property Calculator&apos;!$B$70,0,IFERROR(INDEX($I$4:$I$603,K18*12),0))</f><v>200027.31545326227</v></c><c r="Q18" t="str"><f>IF(K18&lt;=&apos;Property Calculator&apos;!$B$70,&quot;yes&quot;,&quot;—&quot;)</f><v>yes</v></c></row><row r="19" spans="1:17" x14ac:dyDescent="0.25"><c r="A19"><v>16</v></c><c r="B19"><f t="shared" si="0"/>&lt;v&gt;2&lt;/v&gt;&lt;/c&gt;&lt;c r=&quot;C19&quot; s=&quot;37&quot;&gt;&lt;f&gt;IF(A19&gt;&apos;Property Calculator&apos;!$B$70*12,0,IF(AND(&apos;Property Calculator&apos;!$B$72=1,B19&gt;&apos;Property Calculator&apos;!$B$69),&apos;Property Calculator&apos;!$B$73,&apos;Property Calculator&apos;!$B$65))</f><v>3.5000000000000003E-2</v></c><c r="D19" s="72"><f>IF(A19&gt;&apos;Property Calculator&apos;!$B$70*12,0,I18)</f><v>310772.12549931416</v></c><c r="E19" s="72"><f>IF(OR(A19&gt;&apos;Property Calculator&apos;!$B$70*12,D19&lt;=0),0,IF(AND(&apos;Property Calculator&apos;!$B$72=1,B19&gt;&apos;Property Calculator&apos;!$B$69),MIN(D19*C19/12+&apos;Property Calculator&apos;!$B$74/12,D19*(1+C19/12)),MIN(&apos;Property Calculator&apos;!$B$67,D19*(1+C19/12))))</f><v>1429.9603560928113</v></c><c r="F19" s="72"><f>IF(OR(A19&gt;&apos;Property Calculator&apos;!$B$70*12,D19&lt;=0),0,D19*C19/12)</f><v>906.41869937299964</v></c><c r="G19" s="72"><f>IF(OR(A19&gt;&apos;Property Calculator&apos;!$B$70*12,D19&lt;=0),0,MAX(0,MIN(D19,E19-F19)))</f><v>523.54165671981161</v></c><c r="H19" s="126"><v>0</v></c><c r="I19" s="72"><f>IF(A19&gt;&apos;Property Calculator&apos;!$B$70*12,0,MAX(0,D19-G19-J19))</f><v>310248.58384259435</v></c><c r="J19" s="72"><f>IF(OR(A19&gt;&apos;Property Calculator&apos;!$B$70*12,D19&lt;=0),0,MIN(H19,MAX(0,D19-G19)))</f><v>0</v></c><c r="K19"><v>16</v></c><c r="L19" s="72"><f>IF(K19&gt;&apos;Property Calculator&apos;!$B$70,0,SUMIF($B$4:$B$603,K19,$F$4:$F$603))</f><v>6836.4008926894376</v></c><c r="M19" s="72"><f>IF(K19&gt;&apos;Property Calculator&apos;!$B$70,0,SUMIF($B$4:$B$603,K19,$E$4:$E$603)+SUMIF($B$4:$B$603,K19,$H$4:$H$603))</f><v>17159.524273113737</v></c><c r="N19" s="72"><f>IF(K19&gt;&apos;Property Calculator&apos;!$B$70,0,SUMIF($B$4:$B$603,K19,$G$4:$G$603))</f><v>10323.123380424298</v></c><c r="O19" s="72"><f>IF(K19&gt;&apos;Property Calculator&apos;!$B$70,0,SUMIF($B$4:$B$603,K19,$J$4:$J$603))</f><v>0</v></c><c r="P19" s="72"><f>IF(K19&gt;&apos;Property Calculator&apos;!$B$70,0,IFERROR(INDEX($I$4:$I$603,K19*12),0))</f><v>189704.19207283793</v></c><c r="Q19" t="str"><f>IF(K19&lt;=&apos;Property Calculator&apos;!$B$70,&quot;yes&quot;,&quot;—&quot;)</f><v>yes</v></c></row><row r="20" spans="1:17" x14ac:dyDescent="0.25"><c r="A20"><v>17</v></c><c r="B20"><f t="shared" si="0"/>&lt;v&gt;2&lt;/v&gt;&lt;/c&gt;&lt;c r=&quot;C20&quot; s=&quot;37&quot;&gt;&lt;f&gt;IF(A20&gt;&apos;Property Calculator&apos;!$B$70*12,0,IF(AND(&apos;Property Calculator&apos;!$B$72=1,B20&gt;&apos;Property Calculator&apos;!$B$69),&apos;Property Calculator&apos;!$B$73,&apos;Property Calculator&apos;!$B$65))</f><v>3.5000000000000003E-2</v></c><c r="D20" s="72"><f>IF(A20&gt;&apos;Property Calculator&apos;!$B$70*12,0,I19)</f><v>310248.58384259435</v></c><c r="E20" s="72"><f>IF(OR(A20&gt;&apos;Property Calculator&apos;!$B$70*12,D20&lt;=0),0,IF(AND(&apos;Property Calculator&apos;!$B$72=1,B20&gt;&apos;Property Calculator&apos;!$B$69),MIN(D20*C20/12+&apos;Property Calculator&apos;!$B$74/12,D20*(1+C20/12)),MIN(&apos;Property Calculator&apos;!$B$67,D20*(1+C20/12))))</f><v>1429.9603560928113</v></c><c r="F20" s="72"><f>IF(OR(A20&gt;&apos;Property Calculator&apos;!$B$70*12,D20&lt;=0),0,D20*C20/12)</f><v>904.8917028742336</v></c><c r="G20" s="72"><f>IF(OR(A20&gt;&apos;Property Calculator&apos;!$B$70*12,D20&lt;=0),0,MAX(0,MIN(D20,E20-F20)))</f><v>525.06865321857765</v></c><c r="H20" s="126"><v>0</v></c><c r="I20" s="72"><f>IF(A20&gt;&apos;Property Calculator&apos;!$B$70*12,0,MAX(0,D20-G20-J20))</f><v>309723.51518937579</v></c><c r="J20" s="72"><f>IF(OR(A20&gt;&apos;Property Calculator&apos;!$B$70*12,D20&lt;=0),0,MIN(H20,MAX(0,D20-G20)))</f><v>0</v></c><c r="K20"><v>17</v></c><c r="L20" s="72"><f>IF(K20&gt;&apos;Property Calculator&apos;!$B$70,0,SUMIF($B$4:$B$603,K20,$F$4:$F$603))</f><v>6469.2388491624379</v></c><c r="M20" s="72"><f>IF(K20&gt;&apos;Property Calculator&apos;!$B$70,0,SUMIF($B$4:$B$603,K20,$E$4:$E$603)+SUMIF($B$4:$B$603,K20,$H$4:$H$603))</f><v>17159.524273113737</v></c><c r="N20" s="72"><f>IF(K20&gt;&apos;Property Calculator&apos;!$B$70,0,SUMIF($B$4:$B$603,K20,$G$4:$G$603))</f><v>10690.285423951298</v></c><c r="O20" s="72"><f>IF(K20&gt;&apos;Property Calculator&apos;!$B$70,0,SUMIF($B$4:$B$603,K20,$J$4:$J$603))</f><v>0</v></c><c r="P20" s="72"><f>IF(K20&gt;&apos;Property Calculator&apos;!$B$70,0,IFERROR(INDEX($I$4:$I$603,K20*12),0))</f><v>179013.90664888662</v></c><c r="Q20" t="str"><f>IF(K20&lt;=&apos;Property Calculator&apos;!$B$70,&quot;yes&quot;,&quot;—&quot;)</f><v>yes</v></c></row><row r="21" spans="1:17" x14ac:dyDescent="0.25"><c r="A21"><v>18</v></c><c r="B21"><f t="shared" si="0"/>&lt;v&gt;2&lt;/v&gt;&lt;/c&gt;&lt;c r=&quot;C21&quot; s=&quot;37&quot;&gt;&lt;f&gt;IF(A21&gt;&apos;Property Calculator&apos;!$B$70*12,0,IF(AND(&apos;Property Calculator&apos;!$B$72=1,B21&gt;&apos;Property Calculator&apos;!$B$69),&apos;Property Calculator&apos;!$B$73,&apos;Property Calculator&apos;!$B$65))</f><v>3.5000000000000003E-2</v></c><c r="D21" s="72"><f>IF(A21&gt;&apos;Property Calculator&apos;!$B$70*12,0,I20)</f><v>309723.51518937579</v></c><c r="E21" s="72"><f>IF(OR(A21&gt;&apos;Property Calculator&apos;!$B$70*12,D21&lt;=0),0,IF(AND(&apos;Property Calculator&apos;!$B$72=1,B21&gt;&apos;Property Calculator&apos;!$B$69),MIN(D21*C21/12+&apos;Property Calculator&apos;!$B$74/12,D21*(1+C21/12)),MIN(&apos;Property Calculator&apos;!$B$67,D21*(1+C21/12))))</f><v>1429.9603560928113</v></c><c r="F21" s="72"><f>IF(OR(A21&gt;&apos;Property Calculator&apos;!$B$70*12,D21&lt;=0),0,D21*C21/12)</f><v>903.36025263567944</v></c><c r="G21" s="72"><f>IF(OR(A21&gt;&apos;Property Calculator&apos;!$B$70*12,D21&lt;=0),0,MAX(0,MIN(D21,E21-F21)))</f><v>526.60010345713181</v></c><c r="H21" s="126"><v>0</v></c><c r="I21" s="72"><f>IF(A21&gt;&apos;Property Calculator&apos;!$B$70*12,0,MAX(0,D21-G21-J21))</f><v>309196.91508591868</v></c><c r="J21" s="72"><f>IF(OR(A21&gt;&apos;Property Calculator&apos;!$B$70*12,D21&lt;=0),0,MIN(H21,MAX(0,D21-G21)))</f><v>0</v></c><c r="K21"><v>18</v></c><c r="L21" s="72"><f>IF(K21&gt;&apos;Property Calculator&apos;!$B$70,0,SUMIF($B$4:$B$603,K21,$F$4:$F$603))</f><v>6089.0179705097653</v></c><c r="M21" s="72"><f>IF(K21&gt;&apos;Property Calculator&apos;!$B$70,0,SUMIF($B$4:$B$603,K21,$E$4:$E$603)+SUMIF($B$4:$B$603,K21,$H$4:$H$603))</f><v>17159.524273113737</v></c><c r="N21" s="72"><f>IF(K21&gt;&apos;Property Calculator&apos;!$B$70,0,SUMIF($B$4:$B$603,K21,$G$4:$G$603))</f><v>11070.506302603968</v></c><c r="O21" s="72"><f>IF(K21&gt;&apos;Property Calculator&apos;!$B$70,0,SUMIF($B$4:$B$603,K21,$J$4:$J$603))</f><v>0</v></c><c r="P21" s="72"><f>IF(K21&gt;&apos;Property Calculator&apos;!$B$70,0,IFERROR(INDEX($I$4:$I$603,K21*12),0))</f><v>167943.40034628264</v></c><c r="Q21" t="str"><f>IF(K21&lt;=&apos;Property Calculator&apos;!$B$70,&quot;yes&quot;,&quot;—&quot;)</f><v>yes</v></c></row><row r="22" spans="1:17" x14ac:dyDescent="0.25"><c r="A22"><v>19</v></c><c r="B22"><f t="shared" si="0"/>&lt;v&gt;2&lt;/v&gt;&lt;/c&gt;&lt;c r=&quot;C22&quot; s=&quot;37&quot;&gt;&lt;f&gt;IF(A22&gt;&apos;Property Calculator&apos;!$B$70*12,0,IF(AND(&apos;Property Calculator&apos;!$B$72=1,B22&gt;&apos;Property Calculator&apos;!$B$69),&apos;Property Calculator&apos;!$B$73,&apos;Property Calculator&apos;!$B$65))</f><v>3.5000000000000003E-2</v></c><c r="D22" s="72"><f>IF(A22&gt;&apos;Property Calculator&apos;!$B$70*12,0,I21)</f><v>309196.91508591868</v></c><c r="E22" s="72"><f>IF(OR(A22&gt;&apos;Property Calculator&apos;!$B$70*12,D22&lt;=0),0,IF(AND(&apos;Property Calculator&apos;!$B$72=1,B22&gt;&apos;Property Calculator&apos;!$B$69),MIN(D22*C22/12+&apos;Property Calculator&apos;!$B$74/12,D22*(1+C22/12)),MIN(&apos;Property Calculator&apos;!$B$67,D22*(1+C22/12))))</f><v>1429.9603560928113</v></c><c r="F22" s="72"><f>IF(OR(A22&gt;&apos;Property Calculator&apos;!$B$70*12,D22&lt;=0),0,D22*C22/12)</f><v>901.82433566726286</v></c><c r="G22" s="72"><f>IF(OR(A22&gt;&apos;Property Calculator&apos;!$B$70*12,D22&lt;=0),0,MAX(0,MIN(D22,E22-F22)))</f><v>528.13602042554839</v></c><c r="H22" s="126"><v>0</v></c><c r="I22" s="72"><f>IF(A22&gt;&apos;Property Calculator&apos;!$B$70*12,0,MAX(0,D22-G22-J22))</f><v>308668.77906549315</v></c><c r="J22" s="72"><f>IF(OR(A22&gt;&apos;Property Calculator&apos;!$B$70*12,D22&lt;=0),0,MIN(H22,MAX(0,D22-G22)))</f><v>0</v></c><c r="K22"><v>19</v></c><c r="L22" s="72"><f>IF(K22&gt;&apos;Property Calculator&apos;!$B$70,0,SUMIF($B$4:$B$603,K22,$F$4:$F$603))</f><v>5695.2737937569818</v></c><c r="M22" s="72"><f>IF(K22&gt;&apos;Property Calculator&apos;!$B$70,0,SUMIF($B$4:$B$603,K22,$E$4:$E$603)+SUMIF($B$4:$B$603,K22,$H$4:$H$603))</f><v>17159.524273113737</v></c><c r="N22" s="72"><f>IF(K22&gt;&apos;Property Calculator&apos;!$B$70,0,SUMIF($B$4:$B$603,K22,$G$4:$G$603))</f><v>11464.250479356753</v></c><c r="O22" s="72"><f>IF(K22&gt;&apos;Property Calculator&apos;!$B$70,0,SUMIF($B$4:$B$603,K22,$J$4:$J$603))</f><v>0</v></c><c r="P22" s="72"><f>IF(K22&gt;&apos;Property Calculator&apos;!$B$70,0,IFERROR(INDEX($I$4:$I$603,K22*12),0))</f><v>156479.14986692596</v></c><c r="Q22" t="str"><f>IF(K22&lt;=&apos;Property Calculator&apos;!$B$70,&quot;yes&quot;,&quot;—&quot;)</f><v>yes</v></c></row><row r="23" spans="1:17" x14ac:dyDescent="0.25"><c r="A23"><v>20</v></c><c r="B23"><f t="shared" si="0"/>&lt;v&gt;2&lt;/v&gt;&lt;/c&gt;&lt;c r=&quot;C23&quot; s=&quot;37&quot;&gt;&lt;f&gt;IF(A23&gt;&apos;Property Calculator&apos;!$B$70*12,0,IF(AND(&apos;Property Calculator&apos;!$B$72=1,B23&gt;&apos;Property Calculator&apos;!$B$69),&apos;Property Calculator&apos;!$B$73,&apos;Property Calculator&apos;!$B$65))</f><v>3.5000000000000003E-2</v></c><c r="D23" s="72"><f>IF(A23&gt;&apos;Property Calculator&apos;!$B$70*12,0,I22)</f><v>308668.77906549315</v></c><c r="E23" s="72"><f>IF(OR(A23&gt;&apos;Property Calculator&apos;!$B$70*12,D23&lt;=0),0,IF(AND(&apos;Property Calculator&apos;!$B$72=1,B23&gt;&apos;Property Calculator&apos;!$B$69),MIN(D23*C23/12+&apos;Property Calculator&apos;!$B$74/12,D23*(1+C23/12)),MIN(&apos;Property Calculator&apos;!$B$67,D23*(1+C23/12))))</f><v>1429.9603560928113</v></c><c r="F23" s="72"><f>IF(OR(A23&gt;&apos;Property Calculator&apos;!$B$70*12,D23&lt;=0),0,D23*C23/12)</f><v>900.2839389410218</v></c><c r="G23" s="72"><f>IF(OR(A23&gt;&apos;Property Calculator&apos;!$B$70*12,D23&lt;=0),0,MAX(0,MIN(D23,E23-F23)))</f><v>529.67641715178945</v></c><c r="H23" s="126"><v>0</v></c><c r="I23" s="72"><f>IF(A23&gt;&apos;Property Calculator&apos;!$B$70*12,0,MAX(0,D23-G23-J23))</f><v>308139.10264834133</v></c><c r="J23" s="72"><f>IF(OR(A23&gt;&apos;Property Calculator&apos;!$B$70*12,D23&lt;=0),0,MIN(H23,MAX(0,D23-G23)))</f><v>0</v></c><c r="K23"><v>20</v></c><c r="L23" s="72"><f>IF(K23&gt;&apos;Property Calculator&apos;!$B$70,0,SUMIF($B$4:$B$603,K23,$F$4:$F$603))</f><v>5287.5253363968823</v></c><c r="M23" s="72"><f>IF(K23&gt;&apos;Property Calculator&apos;!$B$70,0,SUMIF($B$4:$B$603,K23,$E$4:$E$603)+SUMIF($B$4:$B$603,K23,$H$4:$H$603))</f><v>17159.524273113737</v></c><c r="N23" s="72"><f>IF(K23&gt;&apos;Property Calculator&apos;!$B$70,0,SUMIF($B$4:$B$603,K23,$G$4:$G$603))</f><v>11871.998936716851</v></c><c r="O23" s="72"><f>IF(K23&gt;&apos;Property Calculator&apos;!$B$70,0,SUMIF($B$4:$B$603,K23,$J$4:$J$603))</f><v>0</v></c><c r="P23" s="72"><f>IF(K23&gt;&apos;Property Calculator&apos;!$B$70,0,IFERROR(INDEX($I$4:$I$603,K23*12),0))</f><v>144607.15093020906</v></c><c r="Q23" t="str"><f>IF(K23&lt;=&apos;Property Calculator&apos;!$B$70,&quot;yes&quot;,&quot;—&quot;)</f><v>yes</v></c></row><row r="24" spans="1:17" x14ac:dyDescent="0.25"><c r="A24"><v>21</v></c><c r="B24"><f t="shared" si="0"/>&lt;v&gt;2&lt;/v&gt;&lt;/c&gt;&lt;c r=&quot;C24&quot; s=&quot;37&quot;&gt;&lt;f&gt;IF(A24&gt;&apos;Property Calculator&apos;!$B$70*12,0,IF(AND(&apos;Property Calculator&apos;!$B$72=1,B24&gt;&apos;Property Calculator&apos;!$B$69),&apos;Property Calculator&apos;!$B$73,&apos;Property Calculator&apos;!$B$65))</f><v>3.5000000000000003E-2</v></c><c r="D24" s="72"><f>IF(A24&gt;&apos;Property Calculator&apos;!$B$70*12,0,I23)</f><v>308139.10264834133</v></c><c r="E24" s="72"><f>IF(OR(A24&gt;&apos;Property Calculator&apos;!$B$70*12,D24&lt;=0),0,IF(AND(&apos;Property Calculator&apos;!$B$72=1,B24&gt;&apos;Property Calculator&apos;!$B$69),MIN(D24*C24/12+&apos;Property Calculator&apos;!$B$74/12,D24*(1+C24/12)),MIN(&apos;Property Calculator&apos;!$B$67,D24*(1+C24/12))))</f><v>1429.9603560928113</v></c><c r="F24" s="72"><f>IF(OR(A24&gt;&apos;Property Calculator&apos;!$B$70*12,D24&lt;=0),0,D24*C24/12)</f><v>898.73904939099566</v></c><c r="G24" s="72"><f>IF(OR(A24&gt;&apos;Property Calculator&apos;!$B$70*12,D24&lt;=0),0,MAX(0,MIN(D24,E24-F24)))</f><v>531.22130670181559</v></c><c r="H24" s="126"><v>0</v></c><c r="I24" s="72"><f>IF(A24&gt;&apos;Property Calculator&apos;!$B$70*12,0,MAX(0,D24-G24-J24))</f><v>307607.8813416395</v></c><c r="J24" s="72"><f>IF(OR(A24&gt;&apos;Property Calculator&apos;!$B$70*12,D24&lt;=0),0,MIN(H24,MAX(0,D24-G24)))</f><v>0</v></c><c r="K24"><v>21</v></c><c r="L24" s="72"><f>IF(K24&gt;&apos;Property Calculator&apos;!$B$70,0,SUMIF($B$4:$B$603,K24,$F$4:$F$603))</f><v>4865.2745088400616</v></c><c r="M24" s="72"><f>IF(K24&gt;&apos;Property Calculator&apos;!$B$70,0,SUMIF($B$4:$B$603,K24,$E$4:$E$603)+SUMIF($B$4:$B$603,K24,$H$4:$H$603))</f><v>17159.524273113737</v></c><c r="N24" s="72"><f>IF(K24&gt;&apos;Property Calculator&apos;!$B$70,0,SUMIF($B$4:$B$603,K24,$G$4:$G$603))</f><v>12294.249764273674</v></c><c r="O24" s="72"><f>IF(K24&gt;&apos;Property Calculator&apos;!$B$70,0,SUMIF($B$4:$B$603,K24,$J$4:$J$603))</f><v>0</v></c><c r="P24" s="72"><f>IF(K24&gt;&apos;Property Calculator&apos;!$B$70,0,IFERROR(INDEX($I$4:$I$603,K24*12),0))</f><v>132312.90116593539</v></c><c r="Q24" t="str"><f>IF(K24&lt;=&apos;Property Calculator&apos;!$B$70,&quot;yes&quot;,&quot;—&quot;)</f><v>yes</v></c></row><row r="25" spans="1:17" x14ac:dyDescent="0.25"><c r="A25"><v>22</v></c><c r="B25"><f t="shared" si="0"/>&lt;v&gt;2&lt;/v&gt;&lt;/c&gt;&lt;c r=&quot;C25&quot; s=&quot;37&quot;&gt;&lt;f&gt;IF(A25&gt;&apos;Property Calculator&apos;!$B$70*12,0,IF(AND(&apos;Property Calculator&apos;!$B$72=1,B25&gt;&apos;Property Calculator&apos;!$B$69),&apos;Property Calculator&apos;!$B$73,&apos;Property Calculator&apos;!$B$65))</f><v>3.5000000000000003E-2</v></c><c r="D25" s="72"><f>IF(A25&gt;&apos;Property Calculator&apos;!$B$70*12,0,I24)</f><v>307607.8813416395</v></c><c r="E25" s="72"><f>IF(OR(A25&gt;&apos;Property Calculator&apos;!$B$70*12,D25&lt;=0),0,IF(AND(&apos;Property Calculator&apos;!$B$72=1,B25&gt;&apos;Property Calculator&apos;!$B$69),MIN(D25*C25/12+&apos;Property Calculator&apos;!$B$74/12,D25*(1+C25/12)),MIN(&apos;Property Calculator&apos;!$B$67,D25*(1+C25/12))))</f><v>1429.9603560928113</v></c><c r="F25" s="72"><f>IF(OR(A25&gt;&apos;Property Calculator&apos;!$B$70*12,D25&lt;=0),0,D25*C25/12)</f><v>897.18965391311531</v></c><c r="G25" s="72"><f>IF(OR(A25&gt;&apos;Property Calculator&apos;!$B$70*12,D25&lt;=0),0,MAX(0,MIN(D25,E25-F25)))</f><v>532.77070217969595</v></c><c r="H25" s="126"><v>0</v></c><c r="I25" s="72"><f>IF(A25&gt;&apos;Property Calculator&apos;!$B$70*12,0,MAX(0,D25-G25-J25))</f><v>307075.1106394598</v></c><c r="J25" s="72"><f>IF(OR(A25&gt;&apos;Property Calculator&apos;!$B$70*12,D25&lt;=0),0,MIN(H25,MAX(0,D25-G25)))</f><v>0</v></c><c r="K25"><v>22</v></c><c r="L25" s="72"><f>IF(K25&gt;&apos;Property Calculator&apos;!$B$70,0,SUMIF($B$4:$B$603,K25,$F$4:$F$603))</f><v>4428.0055059681299</v></c><c r="M25" s="72"><f>IF(K25&gt;&apos;Property Calculator&apos;!$B$70,0,SUMIF($B$4:$B$603,K25,$E$4:$E$603)+SUMIF($B$4:$B$603,K25,$H$4:$H$603))</f><v>17159.524273113737</v></c><c r="N25" s="72"><f>IF(K25&gt;&apos;Property Calculator&apos;!$B$70,0,SUMIF($B$4:$B$603,K25,$G$4:$G$603))</f><v>12731.518767145604</v></c><c r="O25" s="72"><f>IF(K25&gt;&apos;Property Calculator&apos;!$B$70,0,SUMIF($B$4:$B$603,K25,$J$4:$J$603))</f><v>0</v></c><c r="P25" s="72"><f>IF(K25&gt;&apos;Property Calculator&apos;!$B$70,0,IFERROR(INDEX($I$4:$I$603,K25*12),0))</f><v>119581.38239878978</v></c><c r="Q25" t="str"><f>IF(K25&lt;=&apos;Property Calculator&apos;!$B$70,&quot;yes&quot;,&quot;—&quot;)</f><v>yes</v></c></row><row r="26" spans="1:17" x14ac:dyDescent="0.25"><c r="A26"><v>23</v></c><c r="B26"><f t="shared" si="0"/>&lt;v&gt;2&lt;/v&gt;&lt;/c&gt;&lt;c r=&quot;C26&quot; s=&quot;37&quot;&gt;&lt;f&gt;IF(A26&gt;&apos;Property Calculator&apos;!$B$70*12,0,IF(AND(&apos;Property Calculator&apos;!$B$72=1,B26&gt;&apos;Property Calculator&apos;!$B$69),&apos;Property Calculator&apos;!$B$73,&apos;Property Calculator&apos;!$B$65))</f><v>3.5000000000000003E-2</v></c><c r="D26" s="72"><f>IF(A26&gt;&apos;Property Calculator&apos;!$B$70*12,0,I25)</f><v>307075.1106394598</v></c><c r="E26" s="72"><f>IF(OR(A26&gt;&apos;Property Calculator&apos;!$B$70*12,D26&lt;=0),0,IF(AND(&apos;Property Calculator&apos;!$B$72=1,B26&gt;&apos;Property Calculator&apos;!$B$69),MIN(D26*C26/12+&apos;Property Calculator&apos;!$B$74/12,D26*(1+C26/12)),MIN(&apos;Property Calculator&apos;!$B$67,D26*(1+C26/12))))</f><v>1429.9603560928113</v></c><c r="F26" s="72"><f>IF(OR(A26&gt;&apos;Property Calculator&apos;!$B$70*12,D26&lt;=0),0,D26*C26/12)</f><v>895.63573936509113</v></c><c r="G26" s="72"><f>IF(OR(A26&gt;&apos;Property Calculator&apos;!$B$70*12,D26&lt;=0),0,MAX(0,MIN(D26,E26-F26)))</f><v>534.32461672772013</v></c><c r="H26" s="126"><v>0</v></c><c r="I26" s="72"><f>IF(A26&gt;&apos;Property Calculator&apos;!$B$70*12,0,MAX(0,D26-G26-J26))</f><v>306540.78602273209</v></c><c r="J26" s="72"><f>IF(OR(A26&gt;&apos;Property Calculator&apos;!$B$70*12,D26&lt;=0),0,MIN(H26,MAX(0,D26-G26)))</f><v>0</v></c><c r="K26"><v>23</v></c><c r="L26" s="72"><f>IF(K26&gt;&apos;Property Calculator&apos;!$B$70,0,SUMIF($B$4:$B$603,K26,$F$4:$F$603))</f><v>3975.1841770463234</v></c><c r="M26" s="72"><f>IF(K26&gt;&apos;Property Calculator&apos;!$B$70,0,SUMIF($B$4:$B$603,K26,$E$4:$E$603)+SUMIF($B$4:$B$603,K26,$H$4:$H$603))</f><v>17159.524273113737</v></c><c r="N26" s="72"><f>IF(K26&gt;&apos;Property Calculator&apos;!$B$70,0,SUMIF($B$4:$B$603,K26,$G$4:$G$603))</f><v>13184.340096067413</v></c><c r="O26" s="72"><f>IF(K26&gt;&apos;Property Calculator&apos;!$B$70,0,SUMIF($B$4:$B$603,K26,$J$4:$J$603))</f><v>0</v></c><c r="P26" s="72"><f>IF(K26&gt;&apos;Property Calculator&apos;!$B$70,0,IFERROR(INDEX($I$4:$I$603,K26*12),0))</f><v>106397.04230272236</v></c><c r="Q26" t="str"><f>IF(K26&lt;=&apos;Property Calculator&apos;!$B$70,&quot;yes&quot;,&quot;—&quot;)</f><v>yes</v></c></row><row r="27" spans="1:17" x14ac:dyDescent="0.25"><c r="A27"><v>24</v></c><c r="B27"><f t="shared" si="0"/>&lt;v&gt;2&lt;/v&gt;&lt;/c&gt;&lt;c r=&quot;C27&quot; s=&quot;37&quot;&gt;&lt;f&gt;IF(A27&gt;&apos;Property Calculator&apos;!$B$70*12,0,IF(AND(&apos;Property Calculator&apos;!$B$72=1,B27&gt;&apos;Property Calculator&apos;!$B$69),&apos;Property Calculator&apos;!$B$73,&apos;Property Calculator&apos;!$B$65))</f><v>3.5000000000000003E-2</v></c><c r="D27" s="72"><f>IF(A27&gt;&apos;Property Calculator&apos;!$B$70*12,0,I26)</f><v>306540.78602273209</v></c><c r="E27" s="72"><f>IF(OR(A27&gt;&apos;Property Calculator&apos;!$B$70*12,D27&lt;=0),0,IF(AND(&apos;Property Calculator&apos;!$B$72=1,B27&gt;&apos;Property Calculator&apos;!$B$69),MIN(D27*C27/12+&apos;Property Calculator&apos;!$B$74/12,D27*(1+C27/12)),MIN(&apos;Property Calculator&apos;!$B$67,D27*(1+C27/12))))</f><v>1429.9603560928113</v></c><c r="F27" s="72"><f>IF(OR(A27&gt;&apos;Property Calculator&apos;!$B$70*12,D27&lt;=0),0,D27*C27/12)</f><v>894.07729256630194</v></c><c r="G27" s="72"><f>IF(OR(A27&gt;&apos;Property Calculator&apos;!$B$70*12,D27&lt;=0),0,MAX(0,MIN(D27,E27-F27)))</f><v>535.88306352650932</v></c><c r="H27" s="126"><v>0</v></c><c r="I27" s="72"><f>IF(A27&gt;&apos;Property Calculator&apos;!$B$70*12,0,MAX(0,D27-G27-J27))</f><v>306004.90295920556</v></c><c r="J27" s="72"><f>IF(OR(A27&gt;&apos;Property Calculator&apos;!$B$70*12,D27&lt;=0),0,MIN(H27,MAX(0,D27-G27)))</f><v>0</v></c><c r="K27"><v>24</v></c><c r="L27" s="72"><f>IF(K27&gt;&apos;Property Calculator&apos;!$B$70,0,SUMIF($B$4:$B$603,K27,$F$4:$F$603))</f><v>3506.2573732258206</v></c><c r="M27" s="72"><f>IF(K27&gt;&apos;Property Calculator&apos;!$B$70,0,SUMIF($B$4:$B$603,K27,$E$4:$E$603)+SUMIF($B$4:$B$603,K27,$H$4:$H$603))</f><v>17159.524273113737</v></c><c r="N27" s="72"><f>IF(K27&gt;&apos;Property Calculator&apos;!$B$70,0,SUMIF($B$4:$B$603,K27,$G$4:$G$603))</f><v>13653.266899887913</v></c><c r="O27" s="72"><f>IF(K27&gt;&apos;Property Calculator&apos;!$B$70,0,SUMIF($B$4:$B$603,K27,$J$4:$J$603))</f><v>0</v></c><c r="P27" s="72"><f>IF(K27&gt;&apos;Property Calculator&apos;!$B$70,0,IFERROR(INDEX($I$4:$I$603,K27*12),0))</f><v>92743.77540283445</v></c><c r="Q27" t="str"><f>IF(K27&lt;=&apos;Property Calculator&apos;!$B$70,&quot;yes&quot;,&quot;—&quot;)</f><v>yes</v></c></row><row r="28" spans="1:17" x14ac:dyDescent="0.25"><c r="A28"><v>25</v></c><c r="B28"><f t="shared" si="0"/>&lt;v&gt;3&lt;/v&gt;&lt;/c&gt;&lt;c r=&quot;C28&quot; s=&quot;37&quot;&gt;&lt;f&gt;IF(A28&gt;&apos;Property Calculator&apos;!$B$70*12,0,IF(AND(&apos;Property Calculator&apos;!$B$72=1,B28&gt;&apos;Property Calculator&apos;!$B$69),&apos;Property Calculator&apos;!$B$73,&apos;Property Calculator&apos;!$B$65))</f><v>3.5000000000000003E-2</v></c><c r="D28" s="72"><f>IF(A28&gt;&apos;Property Calculator&apos;!$B$70*12,0,I27)</f><v>306004.90295920556</v></c><c r="E28" s="72"><f>IF(OR(A28&gt;&apos;Property Calculator&apos;!$B$70*12,D28&lt;=0),0,IF(AND(&apos;Property Calculator&apos;!$B$72=1,B28&gt;&apos;Property Calculator&apos;!$B$69),MIN(D28*C28/12+&apos;Property Calculator&apos;!$B$74/12,D28*(1+C28/12)),MIN(&apos;Property Calculator&apos;!$B$67,D28*(1+C28/12))))</f><v>1429.9603560928113</v></c><c r="F28" s="72"><f>IF(OR(A28&gt;&apos;Property Calculator&apos;!$B$70*12,D28&lt;=0),0,D28*C28/12)</f><v>892.51430029768289</v></c><c r="G28" s="72"><f>IF(OR(A28&gt;&apos;Property Calculator&apos;!$B$70*12,D28&lt;=0),0,MAX(0,MIN(D28,E28-F28)))</f><v>537.44605579512836</v></c><c r="H28" s="126"><v>0</v></c><c r="I28" s="72"><f>IF(A28&gt;&apos;Property Calculator&apos;!$B$70*12,0,MAX(0,D28-G28-J28))</f><v>305467.45690341044</v></c><c r="J28" s="72"><f>IF(OR(A28&gt;&apos;Property Calculator&apos;!$B$70*12,D28&lt;=0),0,MIN(H28,MAX(0,D28-G28)))</f><v>0</v></c><c r="K28"><v>25</v></c><c r="L28" s="72"><f>IF(K28&gt;&apos;Property Calculator&apos;!$B$70,0,SUMIF($B$4:$B$603,K28,$F$4:$F$603))</f><v>3020.6522718387314</v></c><c r="M28" s="72"><f>IF(K28&gt;&apos;Property Calculator&apos;!$B$70,0,SUMIF($B$4:$B$603,K28,$E$4:$E$603)+SUMIF($B$4:$B$603,K28,$H$4:$H$603))</f><v>17159.524273113737</v></c><c r="N28" s="72"><f>IF(K28&gt;&apos;Property Calculator&apos;!$B$70,0,SUMIF($B$4:$B$603,K28,$G$4:$G$603))</f><v>14138.872001275005</v></c><c r="O28" s="72"><f>IF(K28&gt;&apos;Property Calculator&apos;!$B$70,0,SUMIF($B$4:$B$603,K28,$J$4:$J$603))</f><v>0</v></c><c r="P28" s="72"><f>IF(K28&gt;&apos;Property Calculator&apos;!$B$70,0,IFERROR(INDEX($I$4:$I$603,K28*12),0))</f><v>78604.903401559452</v></c><c r="Q28" t="str"><f>IF(K28&lt;=&apos;Property Calculator&apos;!$B$70,&quot;yes&quot;,&quot;—&quot;)</f><v>yes</v></c></row><row r="29" spans="1:17" x14ac:dyDescent="0.25"><c r="A29"><v>26</v></c><c r="B29"><f t="shared" si="0"/>&lt;v&gt;3&lt;/v&gt;&lt;/c&gt;&lt;c r=&quot;C29&quot; s=&quot;37&quot;&gt;&lt;f&gt;IF(A29&gt;&apos;Property Calculator&apos;!$B$70*12,0,IF(AND(&apos;Property Calculator&apos;!$B$72=1,B29&gt;&apos;Property Calculator&apos;!$B$69),&apos;Property Calculator&apos;!$B$73,&apos;Property Calculator&apos;!$B$65))</f><v>3.5000000000000003E-2</v></c><c r="D29" s="72"><f>IF(A29&gt;&apos;Property Calculator&apos;!$B$70*12,0,I28)</f><v>305467.45690341044</v></c><c r="E29" s="72"><f>IF(OR(A29&gt;&apos;Property Calculator&apos;!$B$70*12,D29&lt;=0),0,IF(AND(&apos;Property Calculator&apos;!$B$72=1,B29&gt;&apos;Property Calculator&apos;!$B$69),MIN(D29*C29/12+&apos;Property Calculator&apos;!$B$74/12,D29*(1+C29/12)),MIN(&apos;Property Calculator&apos;!$B$67,D29*(1+C29/12))))</f><v>1429.9603560928113</v></c><c r="F29" s="72"><f>IF(OR(A29&gt;&apos;Property Calculator&apos;!$B$70*12,D29&lt;=0),0,D29*C29/12)</f><v>890.94674930161375</v></c><c r="G29" s="72"><f>IF(OR(A29&gt;&apos;Property Calculator&apos;!$B$70*12,D29&lt;=0),0,MAX(0,MIN(D29,E29-F29)))</f><v>539.0136067911975</v></c><c r="H29" s="126"><v>0</v></c><c r="I29" s="72"><f>IF(A29&gt;&apos;Property Calculator&apos;!$B$70*12,0,MAX(0,D29-G29-J29))</f><v>304928.44329661923</v></c><c r="J29" s="72"><f>IF(OR(A29&gt;&apos;Property Calculator&apos;!$B$70*12,D29&lt;=0),0,MIN(H29,MAX(0,D29-G29)))</f><v>0</v></c><c r="K29"><v>26</v></c><c r="L29" s="72"><f>IF(K29&gt;&apos;Property Calculator&apos;!$B$70,0,SUMIF($B$4:$B$603,K29,$F$4:$F$603))</f><v>2517.7756766602843</v></c><c r="M29" s="72"><f>IF(K29&gt;&apos;Property Calculator&apos;!$B$70,0,SUMIF($B$4:$B$603,K29,$E$4:$E$603)+SUMIF($B$4:$B$603,K29,$H$4:$H$603))</f><v>17159.524273113737</v></c><c r="N29" s="72"><f>IF(K29&gt;&apos;Property Calculator&apos;!$B$70,0,SUMIF($B$4:$B$603,K29,$G$4:$G$603))</f><v>14641.74859645345</v></c><c r="O29" s="72"><f>IF(K29&gt;&apos;Property Calculator&apos;!$B$70,0,SUMIF($B$4:$B$603,K29,$J$4:$J$603))</f><v>0</v></c><c r="P29" s="72"><f>IF(K29&gt;&apos;Property Calculator&apos;!$B$70,0,IFERROR(INDEX($I$4:$I$603,K29*12),0))</f><v>63963.154805106002</v></c><c r="Q29" t="str"><f>IF(K29&lt;=&apos;Property Calculator&apos;!$B$70,&quot;yes&quot;,&quot;—&quot;)</f><v>yes</v></c></row><row r="30" spans="1:17" x14ac:dyDescent="0.25"><c r="A30"><v>27</v></c><c r="B30"><f t="shared" si="0"/>&lt;v&gt;3&lt;/v&gt;&lt;/c&gt;&lt;c r=&quot;C30&quot; s=&quot;37&quot;&gt;&lt;f&gt;IF(A30&gt;&apos;Property Calculator&apos;!$B$70*12,0,IF(AND(&apos;Property Calculator&apos;!$B$72=1,B30&gt;&apos;Property Calculator&apos;!$B$69),&apos;Property Calculator&apos;!$B$73,&apos;Property Calculator&apos;!$B$65))</f><v>3.5000000000000003E-2</v></c><c r="D30" s="72"><f>IF(A30&gt;&apos;Property Calculator&apos;!$B$70*12,0,I29)</f><v>304928.44329661923</v></c><c r="E30" s="72"><f>IF(OR(A30&gt;&apos;Property Calculator&apos;!$B$70*12,D30&lt;=0),0,IF(AND(&apos;Property Calculator&apos;!$B$72=1,B30&gt;&apos;Property Calculator&apos;!$B$69),MIN(D30*C30/12+&apos;Property Calculator&apos;!$B$74/12,D30*(1+C30/12)),MIN(&apos;Property Calculator&apos;!$B$67,D30*(1+C30/12))))</f><v>1429.9603560928113</v></c><c r="F30" s="72"><f>IF(OR(A30&gt;&apos;Property Calculator&apos;!$B$70*12,D30&lt;=0),0,D30*C30/12)</f><v>889.37462628180617</v></c><c r="G30" s="72"><f>IF(OR(A30&gt;&apos;Property Calculator&apos;!$B$70*12,D30&lt;=0),0,MAX(0,MIN(D30,E30-F30)))</f><v>540.58572981100508</v></c><c r="H30" s="126"><v>0</v></c><c r="I30" s="72"><f>IF(A30&gt;&apos;Property Calculator&apos;!$B$70*12,0,MAX(0,D30-G30-J30))</f><v>304387.85756680823</v></c><c r="J30" s="72"><f>IF(OR(A30&gt;&apos;Property Calculator&apos;!$B$70*12,D30&lt;=0),0,MIN(H30,MAX(0,D30-G30)))</f><v>0</v></c><c r="K30"><v>27</v></c><c r="L30" s="72"><f>IF(K30&gt;&apos;Property Calculator&apos;!$B$70,0,SUMIF($B$4:$B$603,K30,$F$4:$F$603))</f><v>1997.0132932834949</v></c><c r="M30" s="72"><f>IF(K30&gt;&apos;Property Calculator&apos;!$B$70,0,SUMIF($B$4:$B$603,K30,$E$4:$E$603)+SUMIF($B$4:$B$603,K30,$H$4:$H$603))</f><v>17159.524273113737</v></c><c r="N30" s="72"><f>IF(K30&gt;&apos;Property Calculator&apos;!$B$70,0,SUMIF($B$4:$B$603,K30,$G$4:$G$603))</f><v>15162.51097983024</v></c><c r="O30" s="72"><f>IF(K30&gt;&apos;Property Calculator&apos;!$B$70,0,SUMIF($B$4:$B$603,K30,$J$4:$J$603))</f><v>0</v></c><c r="P30" s="72"><f>IF(K30&gt;&apos;Property Calculator&apos;!$B$70,0,IFERROR(INDEX($I$4:$I$603,K30*12),0))</f><v>48800.643825275765</v></c><c r="Q30" t="str"><f>IF(K30&lt;=&apos;Property Calculator&apos;!$B$70,&quot;yes&quot;,&quot;—&quot;)</f><v>yes</v></c></row><row r="31" spans="1:17" x14ac:dyDescent="0.25"><c r="A31"><v>28</v></c><c r="B31"><f t="shared" si="0"/>&lt;v&gt;3&lt;/v&gt;&lt;/c&gt;&lt;c r=&quot;C31&quot; s=&quot;37&quot;&gt;&lt;f&gt;IF(A31&gt;&apos;Property Calculator&apos;!$B$70*12,0,IF(AND(&apos;Property Calculator&apos;!$B$72=1,B31&gt;&apos;Property Calculator&apos;!$B$69),&apos;Property Calculator&apos;!$B$73,&apos;Property Calculator&apos;!$B$65))</f><v>3.5000000000000003E-2</v></c><c r="D31" s="72"><f>IF(A31&gt;&apos;Property Calculator&apos;!$B$70*12,0,I30)</f><v>304387.85756680823</v></c><c r="E31" s="72"><f>IF(OR(A31&gt;&apos;Property Calculator&apos;!$B$70*12,D31&lt;=0),0,IF(AND(&apos;Property Calculator&apos;!$B$72=1,B31&gt;&apos;Property Calculator&apos;!$B$69),MIN(D31*C31/12+&apos;Property Calculator&apos;!$B$74/12,D31*(1+C31/12)),MIN(&apos;Property Calculator&apos;!$B$67,D31*(1+C31/12))))</f><v>1429.9603560928113</v></c><c r="F31" s="72"><f>IF(OR(A31&gt;&apos;Property Calculator&apos;!$B$70*12,D31&lt;=0),0,D31*C31/12)</f><v>887.79791790319075</v></c><c r="G31" s="72"><f>IF(OR(A31&gt;&apos;Property Calculator&apos;!$B$70*12,D31&lt;=0),0,MAX(0,MIN(D31,E31-F31)))</f><v>542.1624381896205</v></c><c r="H31" s="126"><v>0</v></c><c r="I31" s="72"><f>IF(A31&gt;&apos;Property Calculator&apos;!$B$70*12,0,MAX(0,D31-G31-J31))</f><v>303845.69512861862</v></c><c r="J31" s="72"><f>IF(OR(A31&gt;&apos;Property Calculator&apos;!$B$70*12,D31&lt;=0),0,MIN(H31,MAX(0,D31-G31)))</f><v>0</v></c><c r="K31"><v>28</v></c><c r="L31" s="72"><f>IF(K31&gt;&apos;Property Calculator&apos;!$B$70,0,SUMIF($B$4:$B$603,K31,$F$4:$F$603))</f><v>1457.7289787211121</v></c><c r="M31" s="72"><f>IF(K31&gt;&apos;Property Calculator&apos;!$B$70,0,SUMIF($B$4:$B$603,K31,$E$4:$E$603)+SUMIF($B$4:$B$603,K31,$H$4:$H$603))</f><v>17159.524273113737</v></c><c r="N31" s="72"><f>IF(K31&gt;&apos;Property Calculator&apos;!$B$70,0,SUMIF($B$4:$B$603,K31,$G$4:$G$603))</f><v>15701.795294392625</v></c><c r="O31" s="72"><f>IF(K31&gt;&apos;Property Calculator&apos;!$B$70,0,SUMIF($B$4:$B$603,K31,$J$4:$J$603))</f><v>0</v></c><c r="P31" s="72"><f>IF(K31&gt;&apos;Property Calculator&apos;!$B$70,0,IFERROR(INDEX($I$4:$I$603,K31*12),0))</f><v>33098.848530883144</v></c><c r="Q31" t="str"><f>IF(K31&lt;=&apos;Property Calculator&apos;!$B$70,&quot;yes&quot;,&quot;—&quot;)</f><v>yes</v></c></row><row r="32" spans="1:17" x14ac:dyDescent="0.25"><c r="A32"><v>29</v></c><c r="B32"><f t="shared" si="0"/>&lt;v&gt;3&lt;/v&gt;&lt;/c&gt;&lt;c r=&quot;C32&quot; s=&quot;37&quot;&gt;&lt;f&gt;IF(A32&gt;&apos;Property Calculator&apos;!$B$70*12,0,IF(AND(&apos;Property Calculator&apos;!$B$72=1,B32&gt;&apos;Property Calculator&apos;!$B$69),&apos;Property Calculator&apos;!$B$73,&apos;Property Calculator&apos;!$B$65))</f><v>3.5000000000000003E-2</v></c><c r="D32" s="72"><f>IF(A32&gt;&apos;Property Calculator&apos;!$B$70*12,0,I31)</f><v>303845.69512861862</v></c><c r="E32" s="72"><f>IF(OR(A32&gt;&apos;Property Calculator&apos;!$B$70*12,D32&lt;=0),0,IF(AND(&apos;Property Calculator&apos;!$B$72=1,B32&gt;&apos;Property Calculator&apos;!$B$69),MIN(D32*C32/12+&apos;Property Calculator&apos;!$B$74/12,D32*(1+C32/12)),MIN(&apos;Property Calculator&apos;!$B$67,D32*(1+C32/12))))</f><v>1429.9603560928113</v></c><c r="F32" s="72"><f>IF(OR(A32&gt;&apos;Property Calculator&apos;!$B$70*12,D32&lt;=0),0,D32*C32/12)</f><v>886.21661079180433</v></c><c r="G32" s="72"><f>IF(OR(A32&gt;&apos;Property Calculator&apos;!$B$70*12,D32&lt;=0),0,MAX(0,MIN(D32,E32-F32)))</f><v>543.74374530100692</v></c><c r="H32" s="126"><v>0</v></c><c r="I32" s="72"><f>IF(A32&gt;&apos;Property Calculator&apos;!$B$70*12,0,MAX(0,D32-G32-J32))</f><v>303301.95138331759</v></c><c r="J32" s="72"><f>IF(OR(A32&gt;&apos;Property Calculator&apos;!$B$70*12,D32&lt;=0),0,MIN(H32,MAX(0,D32-G32)))</f><v>0</v></c><c r="K32"><v>29</v></c><c r="L32" s="72"><f>IF(K32&gt;&apos;Property Calculator&apos;!$B$70,0,SUMIF($B$4:$B$603,K32,$F$4:$F$603))</f><v>899.26396431818921</v></c><c r="M32" s="72"><f>IF(K32&gt;&apos;Property Calculator&apos;!$B$70,0,SUMIF($B$4:$B$603,K32,$E$4:$E$603)+SUMIF($B$4:$B$603,K32,$H$4:$H$603))</f><v>17159.524273113737</v></c><c r="N32" s="72"><f>IF(K32&gt;&apos;Property Calculator&apos;!$B$70,0,SUMIF($B$4:$B$603,K32,$G$4:$G$603))</f><v>16260.260308795545</v></c><c r="O32" s="72"><f>IF(K32&gt;&apos;Property Calculator&apos;!$B$70,0,SUMIF($B$4:$B$603,K32,$J$4:$J$603))</f><v>0</v></c><c r="P32" s="72"><f>IF(K32&gt;&apos;Property Calculator&apos;!$B$70,0,IFERROR(INDEX($I$4:$I$603,K32*12),0))</f><v>16838.588222087601</v></c><c r="Q32" t="str"><f>IF(K32&lt;=&apos;Property Calculator&apos;!$B$70,&quot;yes&quot;,&quot;—&quot;)</f><v>yes</v></c></row><row r="33" spans="1:17" x14ac:dyDescent="0.25"><c r="A33"><v>30</v></c><c r="B33"><f t="shared" si="0"/>&lt;v&gt;3&lt;/v&gt;&lt;/c&gt;&lt;c r=&quot;C33&quot; s=&quot;37&quot;&gt;&lt;f&gt;IF(A33&gt;&apos;Property Calculator&apos;!$B$70*12,0,IF(AND(&apos;Property Calculator&apos;!$B$72=1,B33&gt;&apos;Property Calculator&apos;!$B$69),&apos;Property Calculator&apos;!$B$73,&apos;Property Calculator&apos;!$B$65))</f><v>3.5000000000000003E-2</v></c><c r="D33" s="72"><f>IF(A33&gt;&apos;Property Calculator&apos;!$B$70*12,0,I32)</f><v>303301.95138331759</v></c><c r="E33" s="72"><f>IF(OR(A33&gt;&apos;Property Calculator&apos;!$B$70*12,D33&lt;=0),0,IF(AND(&apos;Property Calculator&apos;!$B$72=1,B33&gt;&apos;Property Calculator&apos;!$B$69),MIN(D33*C33/12+&apos;Property Calculator&apos;!$B$74/12,D33*(1+C33/12)),MIN(&apos;Property Calculator&apos;!$B$67,D33*(1+C33/12))))</f><v>1429.9603560928113</v></c><c r="F33" s="72"><f>IF(OR(A33&gt;&apos;Property Calculator&apos;!$B$70*12,D33&lt;=0),0,D33*C33/12)</f><v>884.63069153467632</v></c><c r="G33" s="72"><f>IF(OR(A33&gt;&apos;Property Calculator&apos;!$B$70*12,D33&lt;=0),0,MAX(0,MIN(D33,E33-F33)))</f><v>545.32966455813494</v></c><c r="H33" s="126"><v>0</v></c><c r="I33" s="72"><f>IF(A33&gt;&apos;Property Calculator&apos;!$B$70*12,0,MAX(0,D33-G33-J33))</f><v>302756.62171875947</v></c><c r="J33" s="72"><f>IF(OR(A33&gt;&apos;Property Calculator&apos;!$B$70*12,D33&lt;=0),0,MIN(H33,MAX(0,D33-G33)))</f><v>0</v></c><c r="K33"><v>30</v></c><c r="L33" s="72"><f>IF(K33&gt;&apos;Property Calculator&apos;!$B$70,0,SUMIF($B$4:$B$603,K33,$F$4:$F$603))</f><v>320.93605102602658</v></c><c r="M33" s="72"><f>IF(K33&gt;&apos;Property Calculator&apos;!$B$70,0,SUMIF($B$4:$B$603,K33,$E$4:$E$603)+SUMIF($B$4:$B$603,K33,$H$4:$H$603))</f><v>17159.524273113631</v></c><c r="N33" s="72"><f>IF(K33&gt;&apos;Property Calculator&apos;!$B$70,0,SUMIF($B$4:$B$603,K33,$G$4:$G$603))</f><v>16838.588222087601</v></c><c r="O33" s="72"><f>IF(K33&gt;&apos;Property Calculator&apos;!$B$70,0,SUMIF($B$4:$B$603,K33,$J$4:$J$603))</f><v>0</v></c><c r="P33" s="72"><f>IF(K33&gt;&apos;Property Calculator&apos;!$B$70,0,IFERROR(INDEX($I$4:$I$603,K33*12),0))</f><v>0</v></c><c r="Q33" t="str"><f>IF(K33&lt;=&apos;Property Calculator&apos;!$B$70,&quot;yes&quot;,&quot;—&quot;)</f><v>yes</v></c></row><row r="34" spans="1:17" x14ac:dyDescent="0.25"><c r="A34"><v>31</v></c><c r="B34"><f t="shared" si="0"/>&lt;v&gt;3&lt;/v&gt;&lt;/c&gt;&lt;c r=&quot;C34&quot; s=&quot;37&quot;&gt;&lt;f&gt;IF(A34&gt;&apos;Property Calculator&apos;!$B$70*12,0,IF(AND(&apos;Property Calculator&apos;!$B$72=1,B34&gt;&apos;Property Calculator&apos;!$B$69),&apos;Property Calculator&apos;!$B$73,&apos;Property Calculator&apos;!$B$65))</f><v>3.5000000000000003E-2</v></c><c r="D34" s="72"><f>IF(A34&gt;&apos;Property Calculator&apos;!$B$70*12,0,I33)</f><v>302756.62171875947</v></c><c r="E34" s="72"><f>IF(OR(A34&gt;&apos;Property Calculator&apos;!$B$70*12,D34&lt;=0),0,IF(AND(&apos;Property Calculator&apos;!$B$72=1,B34&gt;&apos;Property Calculator&apos;!$B$69),MIN(D34*C34/12+&apos;Property Calculator&apos;!$B$74/12,D34*(1+C34/12)),MIN(&apos;Property Calculator&apos;!$B$67,D34*(1+C34/12))))</f><v>1429.9603560928113</v></c><c r="F34" s="72"><f>IF(OR(A34&gt;&apos;Property Calculator&apos;!$B$70*12,D34&lt;=0),0,D34*C34/12)</f><v>883.04014667971524</v></c><c r="G34" s="72"><f>IF(OR(A34&gt;&apos;Property Calculator&apos;!$B$70*12,D34&lt;=0),0,MAX(0,MIN(D34,E34-F34)))</f><v>546.92020941309602</v></c><c r="H34" s="126"><v>0</v></c><c r="I34" s="72"><f>IF(A34&gt;&apos;Property Calculator&apos;!$B$70*12,0,MAX(0,D34-G34-J34))</f><v>302209.70150934637</v></c><c r="J34" s="72"><f>IF(OR(A34&gt;&apos;Property Calculator&apos;!$B$70*12,D34&lt;=0),0,MIN(H34,MAX(0,D34-G34)))</f><v>0</v></c><c r="K34"><v>31</v></c><c r="L34" s="72"><f>IF(K34&gt;&apos;Property Calculator&apos;!$B$70,0,SUMIF($B$4:$B$603,K34,$F$4:$F$603))</f><v>0</v></c><c r="M34" s="72"><f>IF(K34&gt;&apos;Property Calculator&apos;!$B$70,0,SUMIF($B$4:$B$603,K34,$E$4:$E$603)+SUMIF($B$4:$B$603,K34,$H$4:$H$603))</f><v>0</v></c><c r="N34" s="72"><f>IF(K34&gt;&apos;Property Calculator&apos;!$B$70,0,SUMIF($B$4:$B$603,K34,$G$4:$G$603))</f><v>0</v></c><c r="O34" s="72"><f>IF(K34&gt;&apos;Property Calculator&apos;!$B$70,0,SUMIF($B$4:$B$603,K34,$J$4:$J$603))</f><v>0</v></c><c r="P34" s="72"><f>IF(K34&gt;&apos;Property Calculator&apos;!$B$70,0,IFERROR(INDEX($I$4:$I$603,K34*12),0))</f><v>0</v></c><c r="Q34" t="str"><f>IF(K34&lt;=&apos;Property Calculator&apos;!$B$70,&quot;yes&quot;,&quot;—&quot;)</f><v>—</v></c></row><row r="35" spans="1:17" x14ac:dyDescent="0.25"><c r="A35"><v>32</v></c><c r="B35"><f t="shared" si="0"/>&lt;v&gt;3&lt;/v&gt;&lt;/c&gt;&lt;c r=&quot;C35&quot; s=&quot;37&quot;&gt;&lt;f&gt;IF(A35&gt;&apos;Property Calculator&apos;!$B$70*12,0,IF(AND(&apos;Property Calculator&apos;!$B$72=1,B35&gt;&apos;Property Calculator&apos;!$B$69),&apos;Property Calculator&apos;!$B$73,&apos;Property Calculator&apos;!$B$65))</f><v>3.5000000000000003E-2</v></c><c r="D35" s="72"><f>IF(A35&gt;&apos;Property Calculator&apos;!$B$70*12,0,I34)</f><v>302209.70150934637</v></c><c r="E35" s="72"><f>IF(OR(A35&gt;&apos;Property Calculator&apos;!$B$70*12,D35&lt;=0),0,IF(AND(&apos;Property Calculator&apos;!$B$72=1,B35&gt;&apos;Property Calculator&apos;!$B$69),MIN(D35*C35/12+&apos;Property Calculator&apos;!$B$74/12,D35*(1+C35/12)),MIN(&apos;Property Calculator&apos;!$B$67,D35*(1+C35/12))))</f><v>1429.9603560928113</v></c><c r="F35" s="72"><f>IF(OR(A35&gt;&apos;Property Calculator&apos;!$B$70*12,D35&lt;=0),0,D35*C35/12)</f><v>881.44496273559378</v></c><c r="G35" s="72"><f>IF(OR(A35&gt;&apos;Property Calculator&apos;!$B$70*12,D35&lt;=0),0,MAX(0,MIN(D35,E35-F35)))</f><v>548.51539335721748</v></c><c r="H35" s="126"><v>0</v></c><c r="I35" s="72"><f>IF(A35&gt;&apos;Property Calculator&apos;!$B$70*12,0,MAX(0,D35-G35-J35))</f><v>301661.18611598917</v></c><c r="J35" s="72"><f>IF(OR(A35&gt;&apos;Property Calculator&apos;!$B$70*12,D35&lt;=0),0,MIN(H35,MAX(0,D35-G35)))</f><v>0</v></c><c r="K35"><v>32</v></c><c r="L35" s="72"><f>IF(K35&gt;&apos;Property Calculator&apos;!$B$70,0,SUMIF($B$4:$B$603,K35,$F$4:$F$603))</f><v>0</v></c><c r="M35" s="72"><f>IF(K35&gt;&apos;Property Calculator&apos;!$B$70,0,SUMIF($B$4:$B$603,K35,$E$4:$E$603)+SUMIF($B$4:$B$603,K35,$H$4:$H$603))</f><v>0</v></c><c r="N35" s="72"><f>IF(K35&gt;&apos;Property Calculator&apos;!$B$70,0,SUMIF($B$4:$B$603,K35,$G$4:$G$603))</f><v>0</v></c><c r="O35" s="72"><f>IF(K35&gt;&apos;Property Calculator&apos;!$B$70,0,SUMIF($B$4:$B$603,K35,$J$4:$J$603))</f><v>0</v></c><c r="P35" s="72"><f>IF(K35&gt;&apos;Property Calculator&apos;!$B$70,0,IFERROR(INDEX($I$4:$I$603,K35*12),0))</f><v>0</v></c><c r="Q35" t="str"><f>IF(K35&lt;=&apos;Property Calculator&apos;!$B$70,&quot;yes&quot;,&quot;—&quot;)</f><v>—</v></c></row><row r="36" spans="1:17" x14ac:dyDescent="0.25"><c r="A36"><v>33</v></c><c r="B36"><f t="shared" si="0"/>&lt;v&gt;3&lt;/v&gt;&lt;/c&gt;&lt;c r=&quot;C36&quot; s=&quot;37&quot;&gt;&lt;f&gt;IF(A36&gt;&apos;Property Calculator&apos;!$B$70*12,0,IF(AND(&apos;Property Calculator&apos;!$B$72=1,B36&gt;&apos;Property Calculator&apos;!$B$69),&apos;Property Calculator&apos;!$B$73,&apos;Property Calculator&apos;!$B$65))</f><v>3.5000000000000003E-2</v></c><c r="D36" s="72"><f>IF(A36&gt;&apos;Property Calculator&apos;!$B$70*12,0,I35)</f><v>301661.18611598917</v></c><c r="E36" s="72"><f>IF(OR(A36&gt;&apos;Property Calculator&apos;!$B$70*12,D36&lt;=0),0,IF(AND(&apos;Property Calculator&apos;!$B$72=1,B36&gt;&apos;Property Calculator&apos;!$B$69),MIN(D36*C36/12+&apos;Property Calculator&apos;!$B$74/12,D36*(1+C36/12)),MIN(&apos;Property Calculator&apos;!$B$67,D36*(1+C36/12))))</f><v>1429.9603560928113</v></c><c r="F36" s="72"><f>IF(OR(A36&gt;&apos;Property Calculator&apos;!$B$70*12,D36&lt;=0),0,D36*C36/12)</f><v>879.84512617163512</v></c><c r="G36" s="72"><f>IF(OR(A36&gt;&apos;Property Calculator&apos;!$B$70*12,D36&lt;=0),0,MAX(0,MIN(D36,E36-F36)))</f><v>550.11522992117614</v></c><c r="H36" s="126"><v>0</v></c><c r="I36" s="72"><f>IF(A36&gt;&apos;Property Calculator&apos;!$B$70*12,0,MAX(0,D36-G36-J36))</f><v>301111.07088606799</v></c><c r="J36" s="72"><f>IF(OR(A36&gt;&apos;Property Calculator&apos;!$B$70*12,D36&lt;=0),0,MIN(H36,MAX(0,D36-G36)))</f><v>0</v></c><c r="K36"><v>33</v></c><c r="L36" s="72"><f>IF(K36&gt;&apos;Property Calculator&apos;!$B$70,0,SUMIF($B$4:$B$603,K36,$F$4:$F$603))</f><v>0</v></c><c r="M36" s="72"><f>IF(K36&gt;&apos;Property Calculator&apos;!$B$70,0,SUMIF($B$4:$B$603,K36,$E$4:$E$603)+SUMIF($B$4:$B$603,K36,$H$4:$H$603))</f><v>0</v></c><c r="N36" s="72"><f>IF(K36&gt;&apos;Property Calculator&apos;!$B$70,0,SUMIF($B$4:$B$603,K36,$G$4:$G$603))</f><v>0</v></c><c r="O36" s="72"><f>IF(K36&gt;&apos;Property Calculator&apos;!$B$70,0,SUMIF($B$4:$B$603,K36,$J$4:$J$603))</f><v>0</v></c><c r="P36" s="72"><f>IF(K36&gt;&apos;Property Calculator&apos;!$B$70,0,IFERROR(INDEX($I$4:$I$603,K36*12),0))</f><v>0</v></c><c r="Q36" t="str"><f>IF(K36&lt;=&apos;Property Calculator&apos;!$B$70,&quot;yes&quot;,&quot;—&quot;)</f><v>—</v></c></row><row r="37" spans="1:17" x14ac:dyDescent="0.25"><c r="A37"><v>34</v></c><c r="B37"><f t="shared" si="0"/>&lt;v&gt;3&lt;/v&gt;&lt;/c&gt;&lt;c r=&quot;C37&quot; s=&quot;37&quot;&gt;&lt;f&gt;IF(A37&gt;&apos;Property Calculator&apos;!$B$70*12,0,IF(AND(&apos;Property Calculator&apos;!$B$72=1,B37&gt;&apos;Property Calculator&apos;!$B$69),&apos;Property Calculator&apos;!$B$73,&apos;Property Calculator&apos;!$B$65))</f><v>3.5000000000000003E-2</v></c><c r="D37" s="72"><f>IF(A37&gt;&apos;Property Calculator&apos;!$B$70*12,0,I36)</f><v>301111.07088606799</v></c><c r="E37" s="72"><f>IF(OR(A37&gt;&apos;Property Calculator&apos;!$B$70*12,D37&lt;=0),0,IF(AND(&apos;Property Calculator&apos;!$B$72=1,B37&gt;&apos;Property Calculator&apos;!$B$69),MIN(D37*C37/12+&apos;Property Calculator&apos;!$B$74/12,D37*(1+C37/12)),MIN(&apos;Property Calculator&apos;!$B$67,D37*(1+C37/12))))</f><v>1429.9603560928113</v></c><c r="F37" s="72"><f>IF(OR(A37&gt;&apos;Property Calculator&apos;!$B$70*12,D37&lt;=0),0,D37*C37/12)</f><v>878.24062341769832</v></c><c r="G37" s="72"><f>IF(OR(A37&gt;&apos;Property Calculator&apos;!$B$70*12,D37&lt;=0),0,MAX(0,MIN(D37,E37-F37)))</f><v>551.71973267511294</v></c><c r="H37" s="126"><v>0</v></c><c r="I37" s="72"><f>IF(A37&gt;&apos;Property Calculator&apos;!$B$70*12,0,MAX(0,D37-G37-J37))</f><v>300559.35115339287</v></c><c r="J37" s="72"><f>IF(OR(A37&gt;&apos;Property Calculator&apos;!$B$70*12,D37&lt;=0),0,MIN(H37,MAX(0,D37-G37)))</f><v>0</v></c><c r="K37"><v>34</v></c><c r="L37" s="72"><f>IF(K37&gt;&apos;Property Calculator&apos;!$B$70,0,SUMIF($B$4:$B$603,K37,$F$4:$F$603))</f><v>0</v></c><c r="M37" s="72"><f>IF(K37&gt;&apos;Property Calculator&apos;!$B$70,0,SUMIF($B$4:$B$603,K37,$E$4:$E$603)+SUMIF($B$4:$B$603,K37,$H$4:$H$603))</f><v>0</v></c><c r="N37" s="72"><f>IF(K37&gt;&apos;Property Calculator&apos;!$B$70,0,SUMIF($B$4:$B$603,K37,$G$4:$G$603))</f><v>0</v></c><c r="O37" s="72"><f>IF(K37&gt;&apos;Property Calculator&apos;!$B$70,0,SUMIF($B$4:$B$603,K37,$J$4:$J$603))</f><v>0</v></c><c r="P37" s="72"><f>IF(K37&gt;&apos;Property Calculator&apos;!$B$70,0,IFERROR(INDEX($I$4:$I$603,K37*12),0))</f><v>0</v></c><c r="Q37" t="str"><f>IF(K37&lt;=&apos;Property Calculator&apos;!$B$70,&quot;yes&quot;,&quot;—&quot;)</f><v>—</v></c></row><row r="38" spans="1:17" x14ac:dyDescent="0.25"><c r="A38"><v>35</v></c><c r="B38"><f t="shared" si="0"/>&lt;v&gt;3&lt;/v&gt;&lt;/c&gt;&lt;c r=&quot;C38&quot; s=&quot;37&quot;&gt;&lt;f&gt;IF(A38&gt;&apos;Property Calculator&apos;!$B$70*12,0,IF(AND(&apos;Property Calculator&apos;!$B$72=1,B38&gt;&apos;Property Calculator&apos;!$B$69),&apos;Property Calculator&apos;!$B$73,&apos;Property Calculator&apos;!$B$65))</f><v>3.5000000000000003E-2</v></c><c r="D38" s="72"><f>IF(A38&gt;&apos;Property Calculator&apos;!$B$70*12,0,I37)</f><v>300559.35115339287</v></c><c r="E38" s="72"><f>IF(OR(A38&gt;&apos;Property Calculator&apos;!$B$70*12,D38&lt;=0),0,IF(AND(&apos;Property Calculator&apos;!$B$72=1,B38&gt;&apos;Property Calculator&apos;!$B$69),MIN(D38*C38/12+&apos;Property Calculator&apos;!$B$74/12,D38*(1+C38/12)),MIN(&apos;Property Calculator&apos;!$B$67,D38*(1+C38/12))))</f><v>1429.9603560928113</v></c><c r="F38" s="72"><f>IF(OR(A38&gt;&apos;Property Calculator&apos;!$B$70*12,D38&lt;=0),0,D38*C38/12)</f><v>876.63144086406271</v></c><c r="G38" s="72"><f>IF(OR(A38&gt;&apos;Property Calculator&apos;!$B$70*12,D38&lt;=0),0,MAX(0,MIN(D38,E38-F38)))</f><v>553.32891522874854</v></c><c r="H38" s="126"><v>0</v></c><c r="I38" s="72"><f>IF(A38&gt;&apos;Property Calculator&apos;!$B$70*12,0,MAX(0,D38-G38-J38))</f><v>300006.02223816409</v></c><c r="J38" s="72"><f>IF(OR(A38&gt;&apos;Property Calculator&apos;!$B$70*12,D38&lt;=0),0,MIN(H38,MAX(0,D38-G38)))</f><v>0</v></c><c r="K38"><v>35</v></c><c r="L38" s="72"><f>IF(K38&gt;&apos;Property Calculator&apos;!$B$70,0,SUMIF($B$4:$B$603,K38,$F$4:$F$603))</f><v>0</v></c><c r="M38" s="72"><f>IF(K38&gt;&apos;Property Calculator&apos;!$B$70,0,SUMIF($B$4:$B$603,K38,$E$4:$E$603)+SUMIF($B$4:$B$603,K38,$H$4:$H$603))</f><v>0</v></c><c r="N38" s="72"><f>IF(K38&gt;&apos;Property Calculator&apos;!$B$70,0,SUMIF($B$4:$B$603,K38,$G$4:$G$603))</f><v>0</v></c><c r="O38" s="72"><f>IF(K38&gt;&apos;Property Calculator&apos;!$B$70,0,SUMIF($B$4:$B$603,K38,$J$4:$J$603))</f><v>0</v></c><c r="P38" s="72"><f>IF(K38&gt;&apos;Property Calculator&apos;!$B$70,0,IFERROR(INDEX($I$4:$I$603,K38*12),0))</f><v>0</v></c><c r="Q38" t="str"><f>IF(K38&lt;=&apos;Property Calculator&apos;!$B$70,&quot;yes&quot;,&quot;—&quot;)</f><v>—</v></c></row><row r="39" spans="1:17" x14ac:dyDescent="0.25"><c r="A39"><v>36</v></c><c r="B39"><f t="shared" si="0"/>&lt;v&gt;3&lt;/v&gt;&lt;/c&gt;&lt;c r=&quot;C39&quot; s=&quot;37&quot;&gt;&lt;f&gt;IF(A39&gt;&apos;Property Calculator&apos;!$B$70*12,0,IF(AND(&apos;Property Calculator&apos;!$B$72=1,B39&gt;&apos;Property Calculator&apos;!$B$69),&apos;Property Calculator&apos;!$B$73,&apos;Property Calculator&apos;!$B$65))</f><v>3.5000000000000003E-2</v></c><c r="D39" s="72"><f>IF(A39&gt;&apos;Property Calculator&apos;!$B$70*12,0,I38)</f><v>300006.02223816409</v></c><c r="E39" s="72"><f>IF(OR(A39&gt;&apos;Property Calculator&apos;!$B$70*12,D39&lt;=0),0,IF(AND(&apos;Property Calculator&apos;!$B$72=1,B39&gt;&apos;Property Calculator&apos;!$B$69),MIN(D39*C39/12+&apos;Property Calculator&apos;!$B$74/12,D39*(1+C39/12)),MIN(&apos;Property Calculator&apos;!$B$67,D39*(1+C39/12))))</f><v>1429.9603560928113</v></c><c r="F39" s="72"><f>IF(OR(A39&gt;&apos;Property Calculator&apos;!$B$70*12,D39&lt;=0),0,D39*C39/12)</f><v>875.01756486131205</v></c><c r="G39" s="72"><f>IF(OR(A39&gt;&apos;Property Calculator&apos;!$B$70*12,D39&lt;=0),0,MAX(0,MIN(D39,E39-F39)))</f><v>554.9427912314992</v></c><c r="H39" s="126"><v>0</v></c><c r="I39" s="72"><f>IF(A39&gt;&apos;Property Calculator&apos;!$B$70*12,0,MAX(0,D39-G39-J39))</f><v>299451.07944693259</v></c><c r="J39" s="72"><f>IF(OR(A39&gt;&apos;Property Calculator&apos;!$B$70*12,D39&lt;=0),0,MIN(H39,MAX(0,D39-G39)))</f><v>0</v></c><c r="K39"><v>36</v></c><c r="L39" s="72"><f>IF(K39&gt;&apos;Property Calculator&apos;!$B$70,0,SUMIF($B$4:$B$603,K39,$F$4:$F$603))</f><v>0</v></c><c r="M39" s="72"><f>IF(K39&gt;&apos;Property Calculator&apos;!$B$70,0,SUMIF($B$4:$B$603,K39,$E$4:$E$603)+SUMIF($B$4:$B$603,K39,$H$4:$H$603))</f><v>0</v></c><c r="N39" s="72"><f>IF(K39&gt;&apos;Property Calculator&apos;!$B$70,0,SUMIF($B$4:$B$603,K39,$G$4:$G$603))</f><v>0</v></c><c r="O39" s="72"><f>IF(K39&gt;&apos;Property Calculator&apos;!$B$70,0,SUMIF($B$4:$B$603,K39,$J$4:$J$603))</f><v>0</v></c><c r="P39" s="72"><f>IF(K39&gt;&apos;Property Calculator&apos;!$B$70,0,IFERROR(INDEX($I$4:$I$603,K39*12),0))</f><v>0</v></c><c r="Q39" t="str"><f>IF(K39&lt;=&apos;Property Calculator&apos;!$B$70,&quot;yes&quot;,&quot;—&quot;)</f><v>—</v></c></row><row r="40" spans="1:17" x14ac:dyDescent="0.25"><c r="A40"><v>37</v></c><c r="B40"><f t="shared" si="0"/>&lt;v&gt;4&lt;/v&gt;&lt;/c&gt;&lt;c r=&quot;C40&quot; s=&quot;37&quot;&gt;&lt;f&gt;IF(A40&gt;&apos;Property Calculator&apos;!$B$70*12,0,IF(AND(&apos;Property Calculator&apos;!$B$72=1,B40&gt;&apos;Property Calculator&apos;!$B$69),&apos;Property Calculator&apos;!$B$73,&apos;Property Calculator&apos;!$B$65))</f><v>3.5000000000000003E-2</v></c><c r="D40" s="72"><f>IF(A40&gt;&apos;Property Calculator&apos;!$B$70*12,0,I39)</f><v>299451.07944693259</v></c><c r="E40" s="72"><f>IF(OR(A40&gt;&apos;Property Calculator&apos;!$B$70*12,D40&lt;=0),0,IF(AND(&apos;Property Calculator&apos;!$B$72=1,B40&gt;&apos;Property Calculator&apos;!$B$69),MIN(D40*C40/12+&apos;Property Calculator&apos;!$B$74/12,D40*(1+C40/12)),MIN(&apos;Property Calculator&apos;!$B$67,D40*(1+C40/12))))</f><v>1429.9603560928113</v></c><c r="F40" s="72"><f>IF(OR(A40&gt;&apos;Property Calculator&apos;!$B$70*12,D40&lt;=0),0,D40*C40/12)</f><v>873.39898172022015</v></c><c r="G40" s="72"><f>IF(OR(A40&gt;&apos;Property Calculator&apos;!$B$70*12,D40&lt;=0),0,MAX(0,MIN(D40,E40-F40)))</f><v>556.5613743725911</v></c><c r="H40" s="126"><v>0</v></c><c r="I40" s="72"><f>IF(A40&gt;&apos;Property Calculator&apos;!$B$70*12,0,MAX(0,D40-G40-J40))</f><v>298894.51807256002</v></c><c r="J40" s="72"><f>IF(OR(A40&gt;&apos;Property Calculator&apos;!$B$70*12,D40&lt;=0),0,MIN(H40,MAX(0,D40-G40)))</f><v>0</v></c><c r="K40"><v>37</v></c><c r="L40" s="72"><f>IF(K40&gt;&apos;Property Calculator&apos;!$B$70,0,SUMIF($B$4:$B$603,K40,$F$4:$F$603))</f><v>0</v></c><c r="M40" s="72"><f>IF(K40&gt;&apos;Property Calculator&apos;!$B$70,0,SUMIF($B$4:$B$603,K40,$E$4:$E$603)+SUMIF($B$4:$B$603,K40,$H$4:$H$603))</f><v>0</v></c><c r="N40" s="72"><f>IF(K40&gt;&apos;Property Calculator&apos;!$B$70,0,SUMIF($B$4:$B$603,K40,$G$4:$G$603))</f><v>0</v></c><c r="O40" s="72"><f>IF(K40&gt;&apos;Property Calculator&apos;!$B$70,0,SUMIF($B$4:$B$603,K40,$J$4:$J$603))</f><v>0</v></c><c r="P40" s="72"><f>IF(K40&gt;&apos;Property Calculator&apos;!$B$70,0,IFERROR(INDEX($I$4:$I$603,K40*12),0))</f><v>0</v></c><c r="Q40" t="str"><f>IF(K40&lt;=&apos;Property Calculator&apos;!$B$70,&quot;yes&quot;,&quot;—&quot;)</f><v>—</v></c></row><row r="41" spans="1:17" x14ac:dyDescent="0.25"><c r="A41"><v>38</v></c><c r="B41"><f t="shared" si="0"/>&lt;v&gt;4&lt;/v&gt;&lt;/c&gt;&lt;c r=&quot;C41&quot; s=&quot;37&quot;&gt;&lt;f&gt;IF(A41&gt;&apos;Property Calculator&apos;!$B$70*12,0,IF(AND(&apos;Property Calculator&apos;!$B$72=1,B41&gt;&apos;Property Calculator&apos;!$B$69),&apos;Property Calculator&apos;!$B$73,&apos;Property Calculator&apos;!$B$65))</f><v>3.5000000000000003E-2</v></c><c r="D41" s="72"><f>IF(A41&gt;&apos;Property Calculator&apos;!$B$70*12,0,I40)</f><v>298894.51807256002</v></c><c r="E41" s="72"><f>IF(OR(A41&gt;&apos;Property Calculator&apos;!$B$70*12,D41&lt;=0),0,IF(AND(&apos;Property Calculator&apos;!$B$72=1,B41&gt;&apos;Property Calculator&apos;!$B$69),MIN(D41*C41/12+&apos;Property Calculator&apos;!$B$74/12,D41*(1+C41/12)),MIN(&apos;Property Calculator&apos;!$B$67,D41*(1+C41/12))))</f><v>1429.9603560928113</v></c><c r="F41" s="72"><f>IF(OR(A41&gt;&apos;Property Calculator&apos;!$B$70*12,D41&lt;=0),0,D41*C41/12)</f><v>871.77567771163342</v></c><c r="G41" s="72"><f>IF(OR(A41&gt;&apos;Property Calculator&apos;!$B$70*12,D41&lt;=0),0,MAX(0,MIN(D41,E41-F41)))</f><v>558.18467838117783</v></c><c r="H41" s="126"><v>0</v></c><c r="I41" s="72"><f>IF(A41&gt;&apos;Property Calculator&apos;!$B$70*12,0,MAX(0,D41-G41-J41))</f><v>298336.33339417883</v></c><c r="J41" s="72"><f>IF(OR(A41&gt;&apos;Property Calculator&apos;!$B$70*12,D41&lt;=0),0,MIN(H41,MAX(0,D41-G41)))</f><v>0</v></c><c r="K41"><v>38</v></c><c r="L41" s="72"><f>IF(K41&gt;&apos;Property Calculator&apos;!$B$70,0,SUMIF($B$4:$B$603,K41,$F$4:$F$603))</f><v>0</v></c><c r="M41" s="72"><f>IF(K41&gt;&apos;Property Calculator&apos;!$B$70,0,SUMIF($B$4:$B$603,K41,$E$4:$E$603)+SUMIF($B$4:$B$603,K41,$H$4:$H$603))</f><v>0</v></c><c r="N41" s="72"><f>IF(K41&gt;&apos;Property Calculator&apos;!$B$70,0,SUMIF($B$4:$B$603,K41,$G$4:$G$603))</f><v>0</v></c><c r="O41" s="72"><f>IF(K41&gt;&apos;Property Calculator&apos;!$B$70,0,SUMIF($B$4:$B$603,K41,$J$4:$J$603))</f><v>0</v></c><c r="P41" s="72"><f>IF(K41&gt;&apos;Property Calculator&apos;!$B$70,0,IFERROR(INDEX($I$4:$I$603,K41*12),0))</f><v>0</v></c><c r="Q41" t="str"><f>IF(K41&lt;=&apos;Property Calculator&apos;!$B$70,&quot;yes&quot;,&quot;—&quot;)</f><v>—</v></c></row><row r="42" spans="1:17" x14ac:dyDescent="0.25"><c r="A42"><v>39</v></c><c r="B42"><f t="shared" si="0"/>&lt;v&gt;4&lt;/v&gt;&lt;/c&gt;&lt;c r=&quot;C42&quot; s=&quot;37&quot;&gt;&lt;f&gt;IF(A42&gt;&apos;Property Calculator&apos;!$B$70*12,0,IF(AND(&apos;Property Calculator&apos;!$B$72=1,B42&gt;&apos;Property Calculator&apos;!$B$69),&apos;Property Calculator&apos;!$B$73,&apos;Property Calculator&apos;!$B$65))</f><v>3.5000000000000003E-2</v></c><c r="D42" s="72"><f>IF(A42&gt;&apos;Property Calculator&apos;!$B$70*12,0,I41)</f><v>298336.33339417883</v></c><c r="E42" s="72"><f>IF(OR(A42&gt;&apos;Property Calculator&apos;!$B$70*12,D42&lt;=0),0,IF(AND(&apos;Property Calculator&apos;!$B$72=1,B42&gt;&apos;Property Calculator&apos;!$B$69),MIN(D42*C42/12+&apos;Property Calculator&apos;!$B$74/12,D42*(1+C42/12)),MIN(&apos;Property Calculator&apos;!$B$67,D42*(1+C42/12))))</f><v>1429.9603560928113</v></c><c r="F42" s="72"><f>IF(OR(A42&gt;&apos;Property Calculator&apos;!$B$70*12,D42&lt;=0),0,D42*C42/12)</f><v>870.14763906635505</v></c><c r="G42" s="72"><f>IF(OR(A42&gt;&apos;Property Calculator&apos;!$B$70*12,D42&lt;=0),0,MAX(0,MIN(D42,E42-F42)))</f><v>559.8127170264562</v></c><c r="H42" s="126"><v>0</v></c><c r="I42" s="72"><f>IF(A42&gt;&apos;Property Calculator&apos;!$B$70*12,0,MAX(0,D42-G42-J42))</f><v>297776.52067715238</v></c><c r="J42" s="72"><f>IF(OR(A42&gt;&apos;Property Calculator&apos;!$B$70*12,D42&lt;=0),0,MIN(H42,MAX(0,D42-G42)))</f><v>0</v></c><c r="K42"><v>39</v></c><c r="L42" s="72"><f>IF(K42&gt;&apos;Property Calculator&apos;!$B$70,0,SUMIF($B$4:$B$603,K42,$F$4:$F$603))</f><v>0</v></c><c r="M42" s="72"><f>IF(K42&gt;&apos;Property Calculator&apos;!$B$70,0,SUMIF($B$4:$B$603,K42,$E$4:$E$603)+SUMIF($B$4:$B$603,K42,$H$4:$H$603))</f><v>0</v></c><c r="N42" s="72"><f>IF(K42&gt;&apos;Property Calculator&apos;!$B$70,0,SUMIF($B$4:$B$603,K42,$G$4:$G$603))</f><v>0</v></c><c r="O42" s="72"><f>IF(K42&gt;&apos;Property Calculator&apos;!$B$70,0,SUMIF($B$4:$B$603,K42,$J$4:$J$603))</f><v>0</v></c><c r="P42" s="72"><f>IF(K42&gt;&apos;Property Calculator&apos;!$B$70,0,IFERROR(INDEX($I$4:$I$603,K42*12),0))</f><v>0</v></c><c r="Q42" t="str"><f>IF(K42&lt;=&apos;Property Calculator&apos;!$B$70,&quot;yes&quot;,&quot;—&quot;)</f><v>—</v></c></row><row r="43" spans="1:17" x14ac:dyDescent="0.25"><c r="A43"><v>40</v></c><c r="B43"><f t="shared" si="0"/>&lt;v&gt;4&lt;/v&gt;&lt;/c&gt;&lt;c r=&quot;C43&quot; s=&quot;37&quot;&gt;&lt;f&gt;IF(A43&gt;&apos;Property Calculator&apos;!$B$70*12,0,IF(AND(&apos;Property Calculator&apos;!$B$72=1,B43&gt;&apos;Property Calculator&apos;!$B$69),&apos;Property Calculator&apos;!$B$73,&apos;Property Calculator&apos;!$B$65))</f><v>3.5000000000000003E-2</v></c><c r="D43" s="72"><f>IF(A43&gt;&apos;Property Calculator&apos;!$B$70*12,0,I42)</f><v>297776.52067715238</v></c><c r="E43" s="72"><f>IF(OR(A43&gt;&apos;Property Calculator&apos;!$B$70*12,D43&lt;=0),0,IF(AND(&apos;Property Calculator&apos;!$B$72=1,B43&gt;&apos;Property Calculator&apos;!$B$69),MIN(D43*C43/12+&apos;Property Calculator&apos;!$B$74/12,D43*(1+C43/12)),MIN(&apos;Property Calculator&apos;!$B$67,D43*(1+C43/12))))</f><v>1429.9603560928113</v></c><c r="F43" s="72"><f>IF(OR(A43&gt;&apos;Property Calculator&apos;!$B$70*12,D43&lt;=0),0,D43*C43/12)</f><v>868.5148519750278</v></c><c r="G43" s="72"><f>IF(OR(A43&gt;&apos;Property Calculator&apos;!$B$70*12,D43&lt;=0),0,MAX(0,MIN(D43,E43-F43)))</f><v>561.44550411778346</v></c><c r="H43" s="126"><v>0</v></c><c r="I43" s="72"><f>IF(A43&gt;&apos;Property Calculator&apos;!$B$70*12,0,MAX(0,D43-G43-J43))</f><v>297215.07517303462</v></c><c r="J43" s="72"><f>IF(OR(A43&gt;&apos;Property Calculator&apos;!$B$70*12,D43&lt;=0),0,MIN(H43,MAX(0,D43-G43)))</f><v>0</v></c><c r="K43"><v>40</v></c><c r="L43" s="72"><f>IF(K43&gt;&apos;Property Calculator&apos;!$B$70,0,SUMIF($B$4:$B$603,K43,$F$4:$F$603))</f><v>0</v></c><c r="M43" s="72"><f>IF(K43&gt;&apos;Property Calculator&apos;!$B$70,0,SUMIF($B$4:$B$603,K43,$E$4:$E$603)+SUMIF($B$4:$B$603,K43,$H$4:$H$603))</f><v>0</v></c><c r="N43" s="72"><f>IF(K43&gt;&apos;Property Calculator&apos;!$B$70,0,SUMIF($B$4:$B$603,K43,$G$4:$G$603))</f><v>0</v></c><c r="O43" s="72"><f>IF(K43&gt;&apos;Property Calculator&apos;!$B$70,0,SUMIF($B$4:$B$603,K43,$J$4:$J$603))</f><v>0</v></c><c r="P43" s="72"><f>IF(K43&gt;&apos;Property Calculator&apos;!$B$70,0,IFERROR(INDEX($I$4:$I$603,K43*12),0))</f><v>0</v></c><c r="Q43" t="str"><f>IF(K43&lt;=&apos;Property Calculator&apos;!$B$70,&quot;yes&quot;,&quot;—&quot;)</f><v>—</v></c></row><row r="44" spans="1:17" x14ac:dyDescent="0.25"><c r="A44"><v>41</v></c><c r="B44"><f t="shared" si="0"/>&lt;v&gt;4&lt;/v&gt;&lt;/c&gt;&lt;c r=&quot;C44&quot; s=&quot;37&quot;&gt;&lt;f&gt;IF(A44&gt;&apos;Property Calculator&apos;!$B$70*12,0,IF(AND(&apos;Property Calculator&apos;!$B$72=1,B44&gt;&apos;Property Calculator&apos;!$B$69),&apos;Property Calculator&apos;!$B$73,&apos;Property Calculator&apos;!$B$65))</f><v>3.5000000000000003E-2</v></c><c r="D44" s="72"><f>IF(A44&gt;&apos;Property Calculator&apos;!$B$70*12,0,I43)</f><v>297215.07517303462</v></c><c r="E44" s="72"><f>IF(OR(A44&gt;&apos;Property Calculator&apos;!$B$70*12,D44&lt;=0),0,IF(AND(&apos;Property Calculator&apos;!$B$72=1,B44&gt;&apos;Property Calculator&apos;!$B$69),MIN(D44*C44/12+&apos;Property Calculator&apos;!$B$74/12,D44*(1+C44/12)),MIN(&apos;Property Calculator&apos;!$B$67,D44*(1+C44/12))))</f><v>1429.9603560928113</v></c><c r="F44" s="72"><f>IF(OR(A44&gt;&apos;Property Calculator&apos;!$B$70*12,D44&lt;=0),0,D44*C44/12)</f><v>866.87730258801776</v></c><c r="G44" s="72"><f>IF(OR(A44&gt;&apos;Property Calculator&apos;!$B$70*12,D44&lt;=0),0,MAX(0,MIN(D44,E44-F44)))</f><v>563.0830535047935</v></c><c r="H44" s="126"><v>0</v></c><c r="I44" s="72"><f>IF(A44&gt;&apos;Property Calculator&apos;!$B$70*12,0,MAX(0,D44-G44-J44))</f><v>296651.99211952981</v></c><c r="J44" s="72"><f>IF(OR(A44&gt;&apos;Property Calculator&apos;!$B$70*12,D44&lt;=0),0,MIN(H44,MAX(0,D44-G44)))</f><v>0</v></c><c r="K44"><v>41</v></c><c r="L44" s="72"><f>IF(K44&gt;&apos;Property Calculator&apos;!$B$70,0,SUMIF($B$4:$B$603,K44,$F$4:$F$603))</f><v>0</v></c><c r="M44" s="72"><f>IF(K44&gt;&apos;Property Calculator&apos;!$B$70,0,SUMIF($B$4:$B$603,K44,$E$4:$E$603)+SUMIF($B$4:$B$603,K44,$H$4:$H$603))</f><v>0</v></c><c r="N44" s="72"><f>IF(K44&gt;&apos;Property Calculator&apos;!$B$70,0,SUMIF($B$4:$B$603,K44,$G$4:$G$603))</f><v>0</v></c><c r="O44" s="72"><f>IF(K44&gt;&apos;Property Calculator&apos;!$B$70,0,SUMIF($B$4:$B$603,K44,$J$4:$J$603))</f><v>0</v></c><c r="P44" s="72"><f>IF(K44&gt;&apos;Property Calculator&apos;!$B$70,0,IFERROR(INDEX($I$4:$I$603,K44*12),0))</f><v>0</v></c><c r="Q44" t="str"><f>IF(K44&lt;=&apos;Property Calculator&apos;!$B$70,&quot;yes&quot;,&quot;—&quot;)</f><v>—</v></c></row><row r="45" spans="1:17" x14ac:dyDescent="0.25"><c r="A45"><v>42</v></c><c r="B45"><f t="shared" si="0"/>&lt;v&gt;4&lt;/v&gt;&lt;/c&gt;&lt;c r=&quot;C45&quot; s=&quot;37&quot;&gt;&lt;f&gt;IF(A45&gt;&apos;Property Calculator&apos;!$B$70*12,0,IF(AND(&apos;Property Calculator&apos;!$B$72=1,B45&gt;&apos;Property Calculator&apos;!$B$69),&apos;Property Calculator&apos;!$B$73,&apos;Property Calculator&apos;!$B$65))</f><v>3.5000000000000003E-2</v></c><c r="D45" s="72"><f>IF(A45&gt;&apos;Property Calculator&apos;!$B$70*12,0,I44)</f><v>296651.99211952981</v></c><c r="E45" s="72"><f>IF(OR(A45&gt;&apos;Property Calculator&apos;!$B$70*12,D45&lt;=0),0,IF(AND(&apos;Property Calculator&apos;!$B$72=1,B45&gt;&apos;Property Calculator&apos;!$B$69),MIN(D45*C45/12+&apos;Property Calculator&apos;!$B$74/12,D45*(1+C45/12)),MIN(&apos;Property Calculator&apos;!$B$67,D45*(1+C45/12))))</f><v>1429.9603560928113</v></c><c r="F45" s="72"><f>IF(OR(A45&gt;&apos;Property Calculator&apos;!$B$70*12,D45&lt;=0),0,D45*C45/12)</f><v>865.23497701529539</v></c><c r="G45" s="72"><f>IF(OR(A45&gt;&apos;Property Calculator&apos;!$B$70*12,D45&lt;=0),0,MAX(0,MIN(D45,E45-F45)))</f><v>564.72537907751587</v></c><c r="H45" s="126"><v>0</v></c><c r="I45" s="72"><f>IF(A45&gt;&apos;Property Calculator&apos;!$B$70*12,0,MAX(0,D45-G45-J45))</f><v>296087.26674045227</v></c><c r="J45" s="72"><f>IF(OR(A45&gt;&apos;Property Calculator&apos;!$B$70*12,D45&lt;=0),0,MIN(H45,MAX(0,D45-G45)))</f><v>0</v></c><c r="K45"><v>42</v></c><c r="L45" s="72"><f>IF(K45&gt;&apos;Property Calculator&apos;!$B$70,0,SUMIF($B$4:$B$603,K45,$F$4:$F$603))</f><v>0</v></c><c r="M45" s="72"><f>IF(K45&gt;&apos;Property Calculator&apos;!$B$70,0,SUMIF($B$4:$B$603,K45,$E$4:$E$603)+SUMIF($B$4:$B$603,K45,$H$4:$H$603))</f><v>0</v></c><c r="N45" s="72"><f>IF(K45&gt;&apos;Property Calculator&apos;!$B$70,0,SUMIF($B$4:$B$603,K45,$G$4:$G$603))</f><v>0</v></c><c r="O45" s="72"><f>IF(K45&gt;&apos;Property Calculator&apos;!$B$70,0,SUMIF($B$4:$B$603,K45,$J$4:$J$603))</f><v>0</v></c><c r="P45" s="72"><f>IF(K45&gt;&apos;Property Calculator&apos;!$B$70,0,IFERROR(INDEX($I$4:$I$603,K45*12),0))</f><v>0</v></c><c r="Q45" t="str"><f>IF(K45&lt;=&apos;Property Calculator&apos;!$B$70,&quot;yes&quot;,&quot;—&quot;)</f><v>—</v></c></row><row r="46" spans="1:17" x14ac:dyDescent="0.25"><c r="A46"><v>43</v></c><c r="B46"><f t="shared" si="0"/>&lt;v&gt;4&lt;/v&gt;&lt;/c&gt;&lt;c r=&quot;C46&quot; s=&quot;37&quot;&gt;&lt;f&gt;IF(A46&gt;&apos;Property Calculator&apos;!$B$70*12,0,IF(AND(&apos;Property Calculator&apos;!$B$72=1,B46&gt;&apos;Property Calculator&apos;!$B$69),&apos;Property Calculator&apos;!$B$73,&apos;Property Calculator&apos;!$B$65))</f><v>3.5000000000000003E-2</v></c><c r="D46" s="72"><f>IF(A46&gt;&apos;Property Calculator&apos;!$B$70*12,0,I45)</f><v>296087.26674045227</v></c><c r="E46" s="72"><f>IF(OR(A46&gt;&apos;Property Calculator&apos;!$B$70*12,D46&lt;=0),0,IF(AND(&apos;Property Calculator&apos;!$B$72=1,B46&gt;&apos;Property Calculator&apos;!$B$69),MIN(D46*C46/12+&apos;Property Calculator&apos;!$B$74/12,D46*(1+C46/12)),MIN(&apos;Property Calculator&apos;!$B$67,D46*(1+C46/12))))</f><v>1429.9603560928113</v></c><c r="F46" s="72"><f>IF(OR(A46&gt;&apos;Property Calculator&apos;!$B$70*12,D46&lt;=0),0,D46*C46/12)</f><v>863.58786132631928</v></c><c r="G46" s="72"><f>IF(OR(A46&gt;&apos;Property Calculator&apos;!$B$70*12,D46&lt;=0),0,MAX(0,MIN(D46,E46-F46)))</f><v>566.37249476649197</v></c><c r="H46" s="126"><v>0</v></c><c r="I46" s="72"><f>IF(A46&gt;&apos;Property Calculator&apos;!$B$70*12,0,MAX(0,D46-G46-J46))</f><v>295520.89424568578</v></c><c r="J46" s="72"><f>IF(OR(A46&gt;&apos;Property Calculator&apos;!$B$70*12,D46&lt;=0),0,MIN(H46,MAX(0,D46-G46)))</f><v>0</v></c><c r="K46"><v>43</v></c><c r="L46" s="72"><f>IF(K46&gt;&apos;Property Calculator&apos;!$B$70,0,SUMIF($B$4:$B$603,K46,$F$4:$F$603))</f><v>0</v></c><c r="M46" s="72"><f>IF(K46&gt;&apos;Property Calculator&apos;!$B$70,0,SUMIF($B$4:$B$603,K46,$E$4:$E$603)+SUMIF($B$4:$B$603,K46,$H$4:$H$603))</f><v>0</v></c><c r="N46" s="72"><f>IF(K46&gt;&apos;Property Calculator&apos;!$B$70,0,SUMIF($B$4:$B$603,K46,$G$4:$G$603))</f><v>0</v></c><c r="O46" s="72"><f>IF(K46&gt;&apos;Property Calculator&apos;!$B$70,0,SUMIF($B$4:$B$603,K46,$J$4:$J$603))</f><v>0</v></c><c r="P46" s="72"><f>IF(K46&gt;&apos;Property Calculator&apos;!$B$70,0,IFERROR(INDEX($I$4:$I$603,K46*12),0))</f><v>0</v></c><c r="Q46" t="str"><f>IF(K46&lt;=&apos;Property Calculator&apos;!$B$70,&quot;yes&quot;,&quot;—&quot;)</f><v>—</v></c></row><row r="47" spans="1:17" x14ac:dyDescent="0.25"><c r="A47"><v>44</v></c><c r="B47"><f t="shared" si="0"/>&lt;v&gt;4&lt;/v&gt;&lt;/c&gt;&lt;c r=&quot;C47&quot; s=&quot;37&quot;&gt;&lt;f&gt;IF(A47&gt;&apos;Property Calculator&apos;!$B$70*12,0,IF(AND(&apos;Property Calculator&apos;!$B$72=1,B47&gt;&apos;Property Calculator&apos;!$B$69),&apos;Property Calculator&apos;!$B$73,&apos;Property Calculator&apos;!$B$65))</f><v>3.5000000000000003E-2</v></c><c r="D47" s="72"><f>IF(A47&gt;&apos;Property Calculator&apos;!$B$70*12,0,I46)</f><v>295520.89424568578</v></c><c r="E47" s="72"><f>IF(OR(A47&gt;&apos;Property Calculator&apos;!$B$70*12,D47&lt;=0),0,IF(AND(&apos;Property Calculator&apos;!$B$72=1,B47&gt;&apos;Property Calculator&apos;!$B$69),MIN(D47*C47/12+&apos;Property Calculator&apos;!$B$74/12,D47*(1+C47/12)),MIN(&apos;Property Calculator&apos;!$B$67,D47*(1+C47/12))))</f><v>1429.9603560928113</v></c><c r="F47" s="72"><f>IF(OR(A47&gt;&apos;Property Calculator&apos;!$B$70*12,D47&lt;=0),0,D47*C47/12)</f><v>861.93594154991695</v></c><c r="G47" s="72"><f>IF(OR(A47&gt;&apos;Property Calculator&apos;!$B$70*12,D47&lt;=0),0,MAX(0,MIN(D47,E47-F47)))</f><v>568.02441454289431</v></c><c r="H47" s="126"><v>0</v></c><c r="I47" s="72"><f>IF(A47&gt;&apos;Property Calculator&apos;!$B$70*12,0,MAX(0,D47-G47-J47))</f><v>294952.86983114289</v></c><c r="J47" s="72"><f>IF(OR(A47&gt;&apos;Property Calculator&apos;!$B$70*12,D47&lt;=0),0,MIN(H47,MAX(0,D47-G47)))</f><v>0</v></c><c r="K47"><v>44</v></c><c r="L47" s="72"><f>IF(K47&gt;&apos;Property Calculator&apos;!$B$70,0,SUMIF($B$4:$B$603,K47,$F$4:$F$603))</f><v>0</v></c><c r="M47" s="72"><f>IF(K47&gt;&apos;Property Calculator&apos;!$B$70,0,SUMIF($B$4:$B$603,K47,$E$4:$E$603)+SUMIF($B$4:$B$603,K47,$H$4:$H$603))</f><v>0</v></c><c r="N47" s="72"><f>IF(K47&gt;&apos;Property Calculator&apos;!$B$70,0,SUMIF($B$4:$B$603,K47,$G$4:$G$603))</f><v>0</v></c><c r="O47" s="72"><f>IF(K47&gt;&apos;Property Calculator&apos;!$B$70,0,SUMIF($B$4:$B$603,K47,$J$4:$J$603))</f><v>0</v></c><c r="P47" s="72"><f>IF(K47&gt;&apos;Property Calculator&apos;!$B$70,0,IFERROR(INDEX($I$4:$I$603,K47*12),0))</f><v>0</v></c><c r="Q47" t="str"><f>IF(K47&lt;=&apos;Property Calculator&apos;!$B$70,&quot;yes&quot;,&quot;—&quot;)</f><v>—</v></c></row><row r="48" spans="1:17" x14ac:dyDescent="0.25"><c r="A48"><v>45</v></c><c r="B48"><f t="shared" si="0"/>&lt;v&gt;4&lt;/v&gt;&lt;/c&gt;&lt;c r=&quot;C48&quot; s=&quot;37&quot;&gt;&lt;f&gt;IF(A48&gt;&apos;Property Calculator&apos;!$B$70*12,0,IF(AND(&apos;Property Calculator&apos;!$B$72=1,B48&gt;&apos;Property Calculator&apos;!$B$69),&apos;Property Calculator&apos;!$B$73,&apos;Property Calculator&apos;!$B$65))</f><v>3.5000000000000003E-2</v></c><c r="D48" s="72"><f>IF(A48&gt;&apos;Property Calculator&apos;!$B$70*12,0,I47)</f><v>294952.86983114289</v></c><c r="E48" s="72"><f>IF(OR(A48&gt;&apos;Property Calculator&apos;!$B$70*12,D48&lt;=0),0,IF(AND(&apos;Property Calculator&apos;!$B$72=1,B48&gt;&apos;Property Calculator&apos;!$B$69),MIN(D48*C48/12+&apos;Property Calculator&apos;!$B$74/12,D48*(1+C48/12)),MIN(&apos;Property Calculator&apos;!$B$67,D48*(1+C48/12))))</f><v>1429.9603560928113</v></c><c r="F48" s="72"><f>IF(OR(A48&gt;&apos;Property Calculator&apos;!$B$70*12,D48&lt;=0),0,D48*C48/12)</f><v>860.27920367416675</v></c><c r="G48" s="72"><f>IF(OR(A48&gt;&apos;Property Calculator&apos;!$B$70*12,D48&lt;=0),0,MAX(0,MIN(D48,E48-F48)))</f><v>569.6811524186445</v></c><c r="H48" s="126"><v>0</v></c><c r="I48" s="72"><f>IF(A48&gt;&apos;Property Calculator&apos;!$B$70*12,0,MAX(0,D48-G48-J48))</f><v>294383.18867872423</v></c><c r="J48" s="72"><f>IF(OR(A48&gt;&apos;Property Calculator&apos;!$B$70*12,D48&lt;=0),0,MIN(H48,MAX(0,D48-G48)))</f><v>0</v></c><c r="K48"><v>45</v></c><c r="L48" s="72"><f>IF(K48&gt;&apos;Property Calculator&apos;!$B$70,0,SUMIF($B$4:$B$603,K48,$F$4:$F$603))</f><v>0</v></c><c r="M48" s="72"><f>IF(K48&gt;&apos;Property Calculator&apos;!$B$70,0,SUMIF($B$4:$B$603,K48,$E$4:$E$603)+SUMIF($B$4:$B$603,K48,$H$4:$H$603))</f><v>0</v></c><c r="N48" s="72"><f>IF(K48&gt;&apos;Property Calculator&apos;!$B$70,0,SUMIF($B$4:$B$603,K48,$G$4:$G$603))</f><v>0</v></c><c r="O48" s="72"><f>IF(K48&gt;&apos;Property Calculator&apos;!$B$70,0,SUMIF($B$4:$B$603,K48,$J$4:$J$603))</f><v>0</v></c><c r="P48" s="72"><f>IF(K48&gt;&apos;Property Calculator&apos;!$B$70,0,IFERROR(INDEX($I$4:$I$603,K48*12),0))</f><v>0</v></c><c r="Q48" t="str"><f>IF(K48&lt;=&apos;Property Calculator&apos;!$B$70,&quot;yes&quot;,&quot;—&quot;)</f><v>—</v></c></row><row r="49" spans="1:17" x14ac:dyDescent="0.25"><c r="A49"><v>46</v></c><c r="B49"><f t="shared" si="0"/>&lt;v&gt;4&lt;/v&gt;&lt;/c&gt;&lt;c r=&quot;C49&quot; s=&quot;37&quot;&gt;&lt;f&gt;IF(A49&gt;&apos;Property Calculator&apos;!$B$70*12,0,IF(AND(&apos;Property Calculator&apos;!$B$72=1,B49&gt;&apos;Property Calculator&apos;!$B$69),&apos;Property Calculator&apos;!$B$73,&apos;Property Calculator&apos;!$B$65))</f><v>3.5000000000000003E-2</v></c><c r="D49" s="72"><f>IF(A49&gt;&apos;Property Calculator&apos;!$B$70*12,0,I48)</f><v>294383.18867872423</v></c><c r="E49" s="72"><f>IF(OR(A49&gt;&apos;Property Calculator&apos;!$B$70*12,D49&lt;=0),0,IF(AND(&apos;Property Calculator&apos;!$B$72=1,B49&gt;&apos;Property Calculator&apos;!$B$69),MIN(D49*C49/12+&apos;Property Calculator&apos;!$B$74/12,D49*(1+C49/12)),MIN(&apos;Property Calculator&apos;!$B$67,D49*(1+C49/12))))</f><v>1429.9603560928113</v></c><c r="F49" s="72"><f>IF(OR(A49&gt;&apos;Property Calculator&apos;!$B$70*12,D49&lt;=0),0,D49*C49/12)</f><v>858.61763364627905</v></c><c r="G49" s="72"><f>IF(OR(A49&gt;&apos;Property Calculator&apos;!$B$70*12,D49&lt;=0),0,MAX(0,MIN(D49,E49-F49)))</f><v>571.34272244653221</v></c><c r="H49" s="126"><v>0</v></c><c r="I49" s="72"><f>IF(A49&gt;&apos;Property Calculator&apos;!$B$70*12,0,MAX(0,D49-G49-J49))</f><v>293811.84595627768</v></c><c r="J49" s="72"><f>IF(OR(A49&gt;&apos;Property Calculator&apos;!$B$70*12,D49&lt;=0),0,MIN(H49,MAX(0,D49-G49)))</f><v>0</v></c><c r="K49"><v>46</v></c><c r="L49" s="72"><f>IF(K49&gt;&apos;Property Calculator&apos;!$B$70,0,SUMIF($B$4:$B$603,K49,$F$4:$F$603))</f><v>0</v></c><c r="M49" s="72"><f>IF(K49&gt;&apos;Property Calculator&apos;!$B$70,0,SUMIF($B$4:$B$603,K49,$E$4:$E$603)+SUMIF($B$4:$B$603,K49,$H$4:$H$603))</f><v>0</v></c><c r="N49" s="72"><f>IF(K49&gt;&apos;Property Calculator&apos;!$B$70,0,SUMIF($B$4:$B$603,K49,$G$4:$G$603))</f><v>0</v></c><c r="O49" s="72"><f>IF(K49&gt;&apos;Property Calculator&apos;!$B$70,0,SUMIF($B$4:$B$603,K49,$J$4:$J$603))</f><v>0</v></c><c r="P49" s="72"><f>IF(K49&gt;&apos;Property Calculator&apos;!$B$70,0,IFERROR(INDEX($I$4:$I$603,K49*12),0))</f><v>0</v></c><c r="Q49" t="str"><f>IF(K49&lt;=&apos;Property Calculator&apos;!$B$70,&quot;yes&quot;,&quot;—&quot;)</f><v>—</v></c></row><row r="50" spans="1:17" x14ac:dyDescent="0.25"><c r="A50"><v>47</v></c><c r="B50"><f t="shared" si="0"/>&lt;v&gt;4&lt;/v&gt;&lt;/c&gt;&lt;c r=&quot;C50&quot; s=&quot;37&quot;&gt;&lt;f&gt;IF(A50&gt;&apos;Property Calculator&apos;!$B$70*12,0,IF(AND(&apos;Property Calculator&apos;!$B$72=1,B50&gt;&apos;Property Calculator&apos;!$B$69),&apos;Property Calculator&apos;!$B$73,&apos;Property Calculator&apos;!$B$65))</f><v>3.5000000000000003E-2</v></c><c r="D50" s="72"><f>IF(A50&gt;&apos;Property Calculator&apos;!$B$70*12,0,I49)</f><v>293811.84595627768</v></c><c r="E50" s="72"><f>IF(OR(A50&gt;&apos;Property Calculator&apos;!$B$70*12,D50&lt;=0),0,IF(AND(&apos;Property Calculator&apos;!$B$72=1,B50&gt;&apos;Property Calculator&apos;!$B$69),MIN(D50*C50/12+&apos;Property Calculator&apos;!$B$74/12,D50*(1+C50/12)),MIN(&apos;Property Calculator&apos;!$B$67,D50*(1+C50/12))))</f><v>1429.9603560928113</v></c><c r="F50" s="72"><f>IF(OR(A50&gt;&apos;Property Calculator&apos;!$B$70*12,D50&lt;=0),0,D50*C50/12)</f><v>856.95121737247666</v></c><c r="G50" s="72"><f>IF(OR(A50&gt;&apos;Property Calculator&apos;!$B$70*12,D50&lt;=0),0,MAX(0,MIN(D50,E50-F50)))</f><v>573.00913872033459</v></c><c r="H50" s="126"><v>0</v></c><c r="I50" s="72"><f>IF(A50&gt;&apos;Property Calculator&apos;!$B$70*12,0,MAX(0,D50-G50-J50))</f><v>293238.83681755734</v></c><c r="J50" s="72"><f>IF(OR(A50&gt;&apos;Property Calculator&apos;!$B$70*12,D50&lt;=0),0,MIN(H50,MAX(0,D50-G50)))</f><v>0</v></c><c r="K50"><v>47</v></c><c r="L50" s="72"><f>IF(K50&gt;&apos;Property Calculator&apos;!$B$70,0,SUMIF($B$4:$B$603,K50,$F$4:$F$603))</f><v>0</v></c><c r="M50" s="72"><f>IF(K50&gt;&apos;Property Calculator&apos;!$B$70,0,SUMIF($B$4:$B$603,K50,$E$4:$E$603)+SUMIF($B$4:$B$603,K50,$H$4:$H$603))</f><v>0</v></c><c r="N50" s="72"><f>IF(K50&gt;&apos;Property Calculator&apos;!$B$70,0,SUMIF($B$4:$B$603,K50,$G$4:$G$603))</f><v>0</v></c><c r="O50" s="72"><f>IF(K50&gt;&apos;Property Calculator&apos;!$B$70,0,SUMIF($B$4:$B$603,K50,$J$4:$J$603))</f><v>0</v></c><c r="P50" s="72"><f>IF(K50&gt;&apos;Property Calculator&apos;!$B$70,0,IFERROR(INDEX($I$4:$I$603,K50*12),0))</f><v>0</v></c><c r="Q50" t="str"><f>IF(K50&lt;=&apos;Property Calculator&apos;!$B$70,&quot;yes&quot;,&quot;—&quot;)</f><v>—</v></c></row><row r="51" spans="1:17" x14ac:dyDescent="0.25"><c r="A51"><v>48</v></c><c r="B51"><f t="shared" si="0"/>&lt;v&gt;4&lt;/v&gt;&lt;/c&gt;&lt;c r=&quot;C51&quot; s=&quot;37&quot;&gt;&lt;f&gt;IF(A51&gt;&apos;Property Calculator&apos;!$B$70*12,0,IF(AND(&apos;Property Calculator&apos;!$B$72=1,B51&gt;&apos;Property Calculator&apos;!$B$69),&apos;Property Calculator&apos;!$B$73,&apos;Property Calculator&apos;!$B$65))</f><v>3.5000000000000003E-2</v></c><c r="D51" s="72"><f>IF(A51&gt;&apos;Property Calculator&apos;!$B$70*12,0,I50)</f><v>293238.83681755734</v></c><c r="E51" s="72"><f>IF(OR(A51&gt;&apos;Property Calculator&apos;!$B$70*12,D51&lt;=0),0,IF(AND(&apos;Property Calculator&apos;!$B$72=1,B51&gt;&apos;Property Calculator&apos;!$B$69),MIN(D51*C51/12+&apos;Property Calculator&apos;!$B$74/12,D51*(1+C51/12)),MIN(&apos;Property Calculator&apos;!$B$67,D51*(1+C51/12))))</f><v>1429.9603560928113</v></c><c r="F51" s="72"><f>IF(OR(A51&gt;&apos;Property Calculator&apos;!$B$70*12,D51&lt;=0),0,D51*C51/12)</f><v>855.27994071787555</v></c><c r="G51" s="72"><f>IF(OR(A51&gt;&apos;Property Calculator&apos;!$B$70*12,D51&lt;=0),0,MAX(0,MIN(D51,E51-F51)))</f><v>574.68041537493571</v></c><c r="H51" s="126"><v>0</v></c><c r="I51" s="72"><f>IF(A51&gt;&apos;Property Calculator&apos;!$B$70*12,0,MAX(0,D51-G51-J51))</f><v>292664.15640218242</v></c><c r="J51" s="72"><f>IF(OR(A51&gt;&apos;Property Calculator&apos;!$B$70*12,D51&lt;=0),0,MIN(H51,MAX(0,D51-G51)))</f><v>0</v></c><c r="K51"><v>48</v></c><c r="L51" s="72"><f>IF(K51&gt;&apos;Property Calculator&apos;!$B$70,0,SUMIF($B$4:$B$603,K51,$F$4:$F$603))</f><v>0</v></c><c r="M51" s="72"><f>IF(K51&gt;&apos;Property Calculator&apos;!$B$70,0,SUMIF($B$4:$B$603,K51,$E$4:$E$603)+SUMIF($B$4:$B$603,K51,$H$4:$H$603))</f><v>0</v></c><c r="N51" s="72"><f>IF(K51&gt;&apos;Property Calculator&apos;!$B$70,0,SUMIF($B$4:$B$603,K51,$G$4:$G$603))</f><v>0</v></c><c r="O51" s="72"><f>IF(K51&gt;&apos;Property Calculator&apos;!$B$70,0,SUMIF($B$4:$B$603,K51,$J$4:$J$603))</f><v>0</v></c><c r="P51" s="72"><f>IF(K51&gt;&apos;Property Calculator&apos;!$B$70,0,IFERROR(INDEX($I$4:$I$603,K51*12),0))</f><v>0</v></c><c r="Q51" t="str"><f>IF(K51&lt;=&apos;Property Calculator&apos;!$B$70,&quot;yes&quot;,&quot;—&quot;)</f><v>—</v></c></row><row r="52" spans="1:17" x14ac:dyDescent="0.25"><c r="A52"><v>49</v></c><c r="B52"><f t="shared" si="0"/>&lt;v&gt;5&lt;/v&gt;&lt;/c&gt;&lt;c r=&quot;C52&quot; s=&quot;37&quot;&gt;&lt;f&gt;IF(A52&gt;&apos;Property Calculator&apos;!$B$70*12,0,IF(AND(&apos;Property Calculator&apos;!$B$72=1,B52&gt;&apos;Property Calculator&apos;!$B$69),&apos;Property Calculator&apos;!$B$73,&apos;Property Calculator&apos;!$B$65))</f><v>3.5000000000000003E-2</v></c><c r="D52" s="72"><f>IF(A52&gt;&apos;Property Calculator&apos;!$B$70*12,0,I51)</f><v>292664.15640218242</v></c><c r="E52" s="72"><f>IF(OR(A52&gt;&apos;Property Calculator&apos;!$B$70*12,D52&lt;=0),0,IF(AND(&apos;Property Calculator&apos;!$B$72=1,B52&gt;&apos;Property Calculator&apos;!$B$69),MIN(D52*C52/12+&apos;Property Calculator&apos;!$B$74/12,D52*(1+C52/12)),MIN(&apos;Property Calculator&apos;!$B$67,D52*(1+C52/12))))</f><v>1429.9603560928113</v></c><c r="F52" s="72"><f>IF(OR(A52&gt;&apos;Property Calculator&apos;!$B$70*12,D52&lt;=0),0,D52*C52/12)</f><v>853.6037895063655</v></c><c r="G52" s="72"><f>IF(OR(A52&gt;&apos;Property Calculator&apos;!$B$70*12,D52&lt;=0),0,MAX(0,MIN(D52,E52-F52)))</f><v>576.35656658644575</v></c><c r="H52" s="126"><v>0</v></c><c r="I52" s="72"><f>IF(A52&gt;&apos;Property Calculator&apos;!$B$70*12,0,MAX(0,D52-G52-J52))</f><v>292087.79983559594</v></c><c r="J52" s="72"><f>IF(OR(A52&gt;&apos;Property Calculator&apos;!$B$70*12,D52&lt;=0),0,MIN(H52,MAX(0,D52-G52)))</f><v>0</v></c><c r="K52"><v>49</v></c><c r="L52" s="72"><f>IF(K52&gt;&apos;Property Calculator&apos;!$B$70,0,SUMIF($B$4:$B$603,K52,$F$4:$F$603))</f><v>0</v></c><c r="M52" s="72"><f>IF(K52&gt;&apos;Property Calculator&apos;!$B$70,0,SUMIF($B$4:$B$603,K52,$E$4:$E$603)+SUMIF($B$4:$B$603,K52,$H$4:$H$603))</f><v>0</v></c><c r="N52" s="72"><f>IF(K52&gt;&apos;Property Calculator&apos;!$B$70,0,SUMIF($B$4:$B$603,K52,$G$4:$G$603))</f><v>0</v></c><c r="O52" s="72"><f>IF(K52&gt;&apos;Property Calculator&apos;!$B$70,0,SUMIF($B$4:$B$603,K52,$J$4:$J$603))</f><v>0</v></c><c r="P52" s="72"><f>IF(K52&gt;&apos;Property Calculator&apos;!$B$70,0,IFERROR(INDEX($I$4:$I$603,K52*12),0))</f><v>0</v></c><c r="Q52" t="str"><f>IF(K52&lt;=&apos;Property Calculator&apos;!$B$70,&quot;yes&quot;,&quot;—&quot;)</f><v>—</v></c></row><row r="53" spans="1:17" x14ac:dyDescent="0.25"><c r="A53"><v>50</v></c><c r="B53"><f t="shared" si="0"/>&lt;v&gt;5&lt;/v&gt;&lt;/c&gt;&lt;c r=&quot;C53&quot; s=&quot;37&quot;&gt;&lt;f&gt;IF(A53&gt;&apos;Property Calculator&apos;!$B$70*12,0,IF(AND(&apos;Property Calculator&apos;!$B$72=1,B53&gt;&apos;Property Calculator&apos;!$B$69),&apos;Property Calculator&apos;!$B$73,&apos;Property Calculator&apos;!$B$65))</f><v>3.5000000000000003E-2</v></c><c r="D53" s="72"><f>IF(A53&gt;&apos;Property Calculator&apos;!$B$70*12,0,I52)</f><v>292087.79983559594</v></c><c r="E53" s="72"><f>IF(OR(A53&gt;&apos;Property Calculator&apos;!$B$70*12,D53&lt;=0),0,IF(AND(&apos;Property Calculator&apos;!$B$72=1,B53&gt;&apos;Property Calculator&apos;!$B$69),MIN(D53*C53/12+&apos;Property Calculator&apos;!$B$74/12,D53*(1+C53/12)),MIN(&apos;Property Calculator&apos;!$B$67,D53*(1+C53/12))))</f><v>1429.9603560928113</v></c><c r="F53" s="72"><f>IF(OR(A53&gt;&apos;Property Calculator&apos;!$B$70*12,D53&lt;=0),0,D53*C53/12)</f><v>851.9227495204882</v></c><c r="G53" s="72"><f>IF(OR(A53&gt;&apos;Property Calculator&apos;!$B$70*12,D53&lt;=0),0,MAX(0,MIN(D53,E53-F53)))</f><v>578.03760657232306</v></c><c r="H53" s="126"><v>0</v></c><c r="I53" s="72"><f>IF(A53&gt;&apos;Property Calculator&apos;!$B$70*12,0,MAX(0,D53-G53-J53))</f><v>291509.76222902362</v></c><c r="J53" s="72"><f>IF(OR(A53&gt;&apos;Property Calculator&apos;!$B$70*12,D53&lt;=0),0,MIN(H53,MAX(0,D53-G53)))</f><v>0</v></c><c r="K53"><v>50</v></c><c r="L53" s="72"><f>IF(K53&gt;&apos;Property Calculator&apos;!$B$70,0,SUMIF($B$4:$B$603,K53,$F$4:$F$603))</f><v>0</v></c><c r="M53" s="72"><f>IF(K53&gt;&apos;Property Calculator&apos;!$B$70,0,SUMIF($B$4:$B$603,K53,$E$4:$E$603)+SUMIF($B$4:$B$603,K53,$H$4:$H$603))</f><v>0</v></c><c r="N53" s="72"><f>IF(K53&gt;&apos;Property Calculator&apos;!$B$70,0,SUMIF($B$4:$B$603,K53,$G$4:$G$603))</f><v>0</v></c><c r="O53" s="72"><f>IF(K53&gt;&apos;Property Calculator&apos;!$B$70,0,SUMIF($B$4:$B$603,K53,$J$4:$J$603))</f><v>0</v></c><c r="P53" s="72"><f>IF(K53&gt;&apos;Property Calculator&apos;!$B$70,0,IFERROR(INDEX($I$4:$I$603,K53*12),0))</f><v>0</v></c><c r="Q53" t="str"><f>IF(K53&lt;=&apos;Property Calculator&apos;!$B$70,&quot;yes&quot;,&quot;—&quot;)</f><v>—</v></c></row><row r="54" spans="1:17" x14ac:dyDescent="0.25"><c r="A54"><v>51</v></c><c r="B54"><f t="shared" si="0"/>&lt;v&gt;5&lt;/v&gt;&lt;/c&gt;&lt;c r=&quot;C54&quot; s=&quot;37&quot;&gt;&lt;f&gt;IF(A54&gt;&apos;Property Calculator&apos;!$B$70*12,0,IF(AND(&apos;Property Calculator&apos;!$B$72=1,B54&gt;&apos;Property Calculator&apos;!$B$69),&apos;Property Calculator&apos;!$B$73,&apos;Property Calculator&apos;!$B$65))</f><v>3.5000000000000003E-2</v></c><c r="D54" s="72"><f>IF(A54&gt;&apos;Property Calculator&apos;!$B$70*12,0,I53)</f><v>291509.76222902362</v></c><c r="E54" s="72"><f>IF(OR(A54&gt;&apos;Property Calculator&apos;!$B$70*12,D54&lt;=0),0,IF(AND(&apos;Property Calculator&apos;!$B$72=1,B54&gt;&apos;Property Calculator&apos;!$B$69),MIN(D54*C54/12+&apos;Property Calculator&apos;!$B$74/12,D54*(1+C54/12)),MIN(&apos;Property Calculator&apos;!$B$67,D54*(1+C54/12))))</f><v>1429.9603560928113</v></c><c r="F54" s="72"><f>IF(OR(A54&gt;&apos;Property Calculator&apos;!$B$70*12,D54&lt;=0),0,D54*C54/12)</f><v>850.23680650131894</v></c><c r="G54" s="72"><f>IF(OR(A54&gt;&apos;Property Calculator&apos;!$B$70*12,D54&lt;=0),0,MAX(0,MIN(D54,E54-F54)))</f><v>579.72354959149231</v></c><c r="H54" s="126"><v>0</v></c><c r="I54" s="72"><f>IF(A54&gt;&apos;Property Calculator&apos;!$B$70*12,0,MAX(0,D54-G54-J54))</f><v>290930.03867943212</v></c><c r="J54" s="72"><f>IF(OR(A54&gt;&apos;Property Calculator&apos;!$B$70*12,D54&lt;=0),0,MIN(H54,MAX(0,D54-G54)))</f><v>0</v></c></row><row r="55" spans="1:17" x14ac:dyDescent="0.25"><c r="A55"><v>52</v></c><c r="B55"><f t="shared" si="0"/>&lt;v&gt;5&lt;/v&gt;&lt;/c&gt;&lt;c r=&quot;C55&quot; s=&quot;37&quot;&gt;&lt;f&gt;IF(A55&gt;&apos;Property Calculator&apos;!$B$70*12,0,IF(AND(&apos;Property Calculator&apos;!$B$72=1,B55&gt;&apos;Property Calculator&apos;!$B$69),&apos;Property Calculator&apos;!$B$73,&apos;Property Calculator&apos;!$B$65))</f><v>3.5000000000000003E-2</v></c><c r="D55" s="72"><f>IF(A55&gt;&apos;Property Calculator&apos;!$B$70*12,0,I54)</f><v>290930.03867943212</v></c><c r="E55" s="72"><f>IF(OR(A55&gt;&apos;Property Calculator&apos;!$B$70*12,D55&lt;=0),0,IF(AND(&apos;Property Calculator&apos;!$B$72=1,B55&gt;&apos;Property Calculator&apos;!$B$69),MIN(D55*C55/12+&apos;Property Calculator&apos;!$B$74/12,D55*(1+C55/12)),MIN(&apos;Property Calculator&apos;!$B$67,D55*(1+C55/12))))</f><v>1429.9603560928113</v></c><c r="F55" s="72"><f>IF(OR(A55&gt;&apos;Property Calculator&apos;!$B$70*12,D55&lt;=0),0,D55*C55/12)</f><v>848.54594614834377</v></c><c r="G55" s="72"><f>IF(OR(A55&gt;&apos;Property Calculator&apos;!$B$70*12,D55&lt;=0),0,MAX(0,MIN(D55,E55-F55)))</f><v>581.41440994446748</v></c><c r="H55" s="126"><v>0</v></c><c r="I55" s="72"><f>IF(A55&gt;&apos;Property Calculator&apos;!$B$70*12,0,MAX(0,D55-G55-J55))</f><v>290348.62426948769</v></c><c r="J55" s="72"><f>IF(OR(A55&gt;&apos;Property Calculator&apos;!$B$70*12,D55&lt;=0),0,MIN(H55,MAX(0,D55-G55)))</f><v>0</v></c></row><row r="56" spans="1:17" x14ac:dyDescent="0.25"><c r="A56"><v>53</v></c><c r="B56"><f t="shared" si="0"/>&lt;v&gt;5&lt;/v&gt;&lt;/c&gt;&lt;c r=&quot;C56&quot; s=&quot;37&quot;&gt;&lt;f&gt;IF(A56&gt;&apos;Property Calculator&apos;!$B$70*12,0,IF(AND(&apos;Property Calculator&apos;!$B$72=1,B56&gt;&apos;Property Calculator&apos;!$B$69),&apos;Property Calculator&apos;!$B$73,&apos;Property Calculator&apos;!$B$65))</f><v>3.5000000000000003E-2</v></c><c r="D56" s="72"><f>IF(A56&gt;&apos;Property Calculator&apos;!$B$70*12,0,I55)</f><v>290348.62426948769</v></c><c r="E56" s="72"><f>IF(OR(A56&gt;&apos;Property Calculator&apos;!$B$70*12,D56&lt;=0),0,IF(AND(&apos;Property Calculator&apos;!$B$72=1,B56&gt;&apos;Property Calculator&apos;!$B$69),MIN(D56*C56/12+&apos;Property Calculator&apos;!$B$74/12,D56*(1+C56/12)),MIN(&apos;Property Calculator&apos;!$B$67,D56*(1+C56/12))))</f><v>1429.9603560928113</v></c><c r="F56" s="72"><f>IF(OR(A56&gt;&apos;Property Calculator&apos;!$B$70*12,D56&lt;=0),0,D56*C56/12)</f><v>846.85015411933909</v></c><c r="G56" s="72"><f>IF(OR(A56&gt;&apos;Property Calculator&apos;!$B$70*12,D56&lt;=0),0,MAX(0,MIN(D56,E56-F56)))</f><v>583.11020197347216</v></c><c r="H56" s="126"><v>0</v></c><c r="I56" s="72"><f>IF(A56&gt;&apos;Property Calculator&apos;!$B$70*12,0,MAX(0,D56-G56-J56))</f><v>289765.51406751422</v></c><c r="J56" s="72"><f>IF(OR(A56&gt;&apos;Property Calculator&apos;!$B$70*12,D56&lt;=0),0,MIN(H56,MAX(0,D56-G56)))</f><v>0</v></c></row><row r="57" spans="1:17" x14ac:dyDescent="0.25"><c r="A57"><v>54</v></c><c r="B57"><f t="shared" si="0"/>&lt;v&gt;5&lt;/v&gt;&lt;/c&gt;&lt;c r=&quot;C57&quot; s=&quot;37&quot;&gt;&lt;f&gt;IF(A57&gt;&apos;Property Calculator&apos;!$B$70*12,0,IF(AND(&apos;Property Calculator&apos;!$B$72=1,B57&gt;&apos;Property Calculator&apos;!$B$69),&apos;Property Calculator&apos;!$B$73,&apos;Property Calculator&apos;!$B$65))</f><v>3.5000000000000003E-2</v></c><c r="D57" s="72"><f>IF(A57&gt;&apos;Property Calculator&apos;!$B$70*12,0,I56)</f><v>289765.51406751422</v></c><c r="E57" s="72"><f>IF(OR(A57&gt;&apos;Property Calculator&apos;!$B$70*12,D57&lt;=0),0,IF(AND(&apos;Property Calculator&apos;!$B$72=1,B57&gt;&apos;Property Calculator&apos;!$B$69),MIN(D57*C57/12+&apos;Property Calculator&apos;!$B$74/12,D57*(1+C57/12)),MIN(&apos;Property Calculator&apos;!$B$67,D57*(1+C57/12))))</f><v>1429.9603560928113</v></c><c r="F57" s="72"><f>IF(OR(A57&gt;&apos;Property Calculator&apos;!$B$70*12,D57&lt;=0),0,D57*C57/12)</f><v>845.14941603024988</v></c><c r="G57" s="72"><f>IF(OR(A57&gt;&apos;Property Calculator&apos;!$B$70*12,D57&lt;=0),0,MAX(0,MIN(D57,E57-F57)))</f><v>584.81094006256137</v></c><c r="H57" s="126"><v>0</v></c><c r="I57" s="72"><f>IF(A57&gt;&apos;Property Calculator&apos;!$B$70*12,0,MAX(0,D57-G57-J57))</f><v>289180.70312745165</v></c><c r="J57" s="72"><f>IF(OR(A57&gt;&apos;Property Calculator&apos;!$B$70*12,D57&lt;=0),0,MIN(H57,MAX(0,D57-G57)))</f><v>0</v></c></row><row r="58" spans="1:17" x14ac:dyDescent="0.25"><c r="A58"><v>55</v></c><c r="B58"><f t="shared" si="0"/>&lt;v&gt;5&lt;/v&gt;&lt;/c&gt;&lt;c r=&quot;C58&quot; s=&quot;37&quot;&gt;&lt;f&gt;IF(A58&gt;&apos;Property Calculator&apos;!$B$70*12,0,IF(AND(&apos;Property Calculator&apos;!$B$72=1,B58&gt;&apos;Property Calculator&apos;!$B$69),&apos;Property Calculator&apos;!$B$73,&apos;Property Calculator&apos;!$B$65))</f><v>3.5000000000000003E-2</v></c><c r="D58" s="72"><f>IF(A58&gt;&apos;Property Calculator&apos;!$B$70*12,0,I57)</f><v>289180.70312745165</v></c><c r="E58" s="72"><f>IF(OR(A58&gt;&apos;Property Calculator&apos;!$B$70*12,D58&lt;=0),0,IF(AND(&apos;Property Calculator&apos;!$B$72=1,B58&gt;&apos;Property Calculator&apos;!$B$69),MIN(D58*C58/12+&apos;Property Calculator&apos;!$B$74/12,D58*(1+C58/12)),MIN(&apos;Property Calculator&apos;!$B$67,D58*(1+C58/12))))</f><v>1429.9603560928113</v></c><c r="F58" s="72"><f>IF(OR(A58&gt;&apos;Property Calculator&apos;!$B$70*12,D58&lt;=0),0,D58*C58/12)</f><v>843.44371745506749</v></c><c r="G58" s="72"><f>IF(OR(A58&gt;&apos;Property Calculator&apos;!$B$70*12,D58&lt;=0),0,MAX(0,MIN(D58,E58-F58)))</f><v>586.51663863774377</v></c><c r="H58" s="126"><v>0</v></c><c r="I58" s="72"><f>IF(A58&gt;&apos;Property Calculator&apos;!$B$70*12,0,MAX(0,D58-G58-J58))</f><v>288594.1864888139</v></c><c r="J58" s="72"><f>IF(OR(A58&gt;&apos;Property Calculator&apos;!$B$70*12,D58&lt;=0),0,MIN(H58,MAX(0,D58-G58)))</f><v>0</v></c></row><row r="59" spans="1:17" x14ac:dyDescent="0.25"><c r="A59"><v>56</v></c><c r="B59"><f t="shared" si="0"/>&lt;v&gt;5&lt;/v&gt;&lt;/c&gt;&lt;c r=&quot;C59&quot; s=&quot;37&quot;&gt;&lt;f&gt;IF(A59&gt;&apos;Property Calculator&apos;!$B$70*12,0,IF(AND(&apos;Property Calculator&apos;!$B$72=1,B59&gt;&apos;Property Calculator&apos;!$B$69),&apos;Property Calculator&apos;!$B$73,&apos;Property Calculator&apos;!$B$65))</f><v>3.5000000000000003E-2</v></c><c r="D59" s="72"><f>IF(A59&gt;&apos;Property Calculator&apos;!$B$70*12,0,I58)</f><v>288594.1864888139</v></c><c r="E59" s="72"><f>IF(OR(A59&gt;&apos;Property Calculator&apos;!$B$70*12,D59&lt;=0),0,IF(AND(&apos;Property Calculator&apos;!$B$72=1,B59&gt;&apos;Property Calculator&apos;!$B$69),MIN(D59*C59/12+&apos;Property Calculator&apos;!$B$74/12,D59*(1+C59/12)),MIN(&apos;Property Calculator&apos;!$B$67,D59*(1+C59/12))))</f><v>1429.9603560928113</v></c><c r="F59" s="72"><f>IF(OR(A59&gt;&apos;Property Calculator&apos;!$B$70*12,D59&lt;=0),0,D59*C59/12)</f><v>841.73304392570719</v></c><c r="G59" s="72"><f>IF(OR(A59&gt;&apos;Property Calculator&apos;!$B$70*12,D59&lt;=0),0,MAX(0,MIN(D59,E59-F59)))</f><v>588.22731216710406</v></c><c r="H59" s="126"><v>0</v></c><c r="I59" s="72"><f>IF(A59&gt;&apos;Property Calculator&apos;!$B$70*12,0,MAX(0,D59-G59-J59))</f><v>288005.95917664678</v></c><c r="J59" s="72"><f>IF(OR(A59&gt;&apos;Property Calculator&apos;!$B$70*12,D59&lt;=0),0,MIN(H59,MAX(0,D59-G59)))</f><v>0</v></c></row><row r="60" spans="1:17" x14ac:dyDescent="0.25"><c r="A60"><v>57</v></c><c r="B60"><f t="shared" si="0"/>&lt;v&gt;5&lt;/v&gt;&lt;/c&gt;&lt;c r=&quot;C60&quot; s=&quot;37&quot;&gt;&lt;f&gt;IF(A60&gt;&apos;Property Calculator&apos;!$B$70*12,0,IF(AND(&apos;Property Calculator&apos;!$B$72=1,B60&gt;&apos;Property Calculator&apos;!$B$69),&apos;Property Calculator&apos;!$B$73,&apos;Property Calculator&apos;!$B$65))</f><v>3.5000000000000003E-2</v></c><c r="D60" s="72"><f>IF(A60&gt;&apos;Property Calculator&apos;!$B$70*12,0,I59)</f><v>288005.95917664678</v></c><c r="E60" s="72"><f>IF(OR(A60&gt;&apos;Property Calculator&apos;!$B$70*12,D60&lt;=0),0,IF(AND(&apos;Property Calculator&apos;!$B$72=1,B60&gt;&apos;Property Calculator&apos;!$B$69),MIN(D60*C60/12+&apos;Property Calculator&apos;!$B$74/12,D60*(1+C60/12)),MIN(&apos;Property Calculator&apos;!$B$67,D60*(1+C60/12))))</f><v>1429.9603560928113</v></c><c r="F60" s="72"><f>IF(OR(A60&gt;&apos;Property Calculator&apos;!$B$70*12,D60&lt;=0),0,D60*C60/12)</f><v>840.01738093188658</v></c><c r="G60" s="72"><f>IF(OR(A60&gt;&apos;Property Calculator&apos;!$B$70*12,D60&lt;=0),0,MAX(0,MIN(D60,E60-F60)))</f><v>589.94297516092468</v></c><c r="H60" s="126"><v>0</v></c><c r="I60" s="72"><f>IF(A60&gt;&apos;Property Calculator&apos;!$B$70*12,0,MAX(0,D60-G60-J60))</f><v>287416.01620148588</v></c><c r="J60" s="72"><f>IF(OR(A60&gt;&apos;Property Calculator&apos;!$B$70*12,D60&lt;=0),0,MIN(H60,MAX(0,D60-G60)))</f><v>0</v></c></row><row r="61" spans="1:17" x14ac:dyDescent="0.25"><c r="A61"><v>58</v></c><c r="B61"><f t="shared" si="0"/>&lt;v&gt;5&lt;/v&gt;&lt;/c&gt;&lt;c r=&quot;C61&quot; s=&quot;37&quot;&gt;&lt;f&gt;IF(A61&gt;&apos;Property Calculator&apos;!$B$70*12,0,IF(AND(&apos;Property Calculator&apos;!$B$72=1,B61&gt;&apos;Property Calculator&apos;!$B$69),&apos;Property Calculator&apos;!$B$73,&apos;Property Calculator&apos;!$B$65))</f><v>3.5000000000000003E-2</v></c><c r="D61" s="72"><f>IF(A61&gt;&apos;Property Calculator&apos;!$B$70*12,0,I60)</f><v>287416.01620148588</v></c><c r="E61" s="72"><f>IF(OR(A61&gt;&apos;Property Calculator&apos;!$B$70*12,D61&lt;=0),0,IF(AND(&apos;Property Calculator&apos;!$B$72=1,B61&gt;&apos;Property Calculator&apos;!$B$69),MIN(D61*C61/12+&apos;Property Calculator&apos;!$B$74/12,D61*(1+C61/12)),MIN(&apos;Property Calculator&apos;!$B$67,D61*(1+C61/12))))</f><v>1429.9603560928113</v></c><c r="F61" s="72"><f>IF(OR(A61&gt;&apos;Property Calculator&apos;!$B$70*12,D61&lt;=0),0,D61*C61/12)</f><v>838.29671392100056</v></c><c r="G61" s="72"><f>IF(OR(A61&gt;&apos;Property Calculator&apos;!$B$70*12,D61&lt;=0),0,MAX(0,MIN(D61,E61-F61)))</f><v>591.66364217181069</v></c><c r="H61" s="126"><v>0</v></c><c r="I61" s="72"><f>IF(A61&gt;&apos;Property Calculator&apos;!$B$70*12,0,MAX(0,D61-G61-J61))</f><v>286824.35255931405</v></c><c r="J61" s="72"><f>IF(OR(A61&gt;&apos;Property Calculator&apos;!$B$70*12,D61&lt;=0),0,MIN(H61,MAX(0,D61-G61)))</f><v>0</v></c></row><row r="62" spans="1:17" x14ac:dyDescent="0.25"><c r="A62"><v>59</v></c><c r="B62"><f t="shared" si="0"/>&lt;v&gt;5&lt;/v&gt;&lt;/c&gt;&lt;c r=&quot;C62&quot; s=&quot;37&quot;&gt;&lt;f&gt;IF(A62&gt;&apos;Property Calculator&apos;!$B$70*12,0,IF(AND(&apos;Property Calculator&apos;!$B$72=1,B62&gt;&apos;Property Calculator&apos;!$B$69),&apos;Property Calculator&apos;!$B$73,&apos;Property Calculator&apos;!$B$65))</f><v>3.5000000000000003E-2</v></c><c r="D62" s="72"><f>IF(A62&gt;&apos;Property Calculator&apos;!$B$70*12,0,I61)</f><v>286824.35255931405</v></c><c r="E62" s="72"><f>IF(OR(A62&gt;&apos;Property Calculator&apos;!$B$70*12,D62&lt;=0),0,IF(AND(&apos;Property Calculator&apos;!$B$72=1,B62&gt;&apos;Property Calculator&apos;!$B$69),MIN(D62*C62/12+&apos;Property Calculator&apos;!$B$74/12,D62*(1+C62/12)),MIN(&apos;Property Calculator&apos;!$B$67,D62*(1+C62/12))))</f><v>1429.9603560928113</v></c><c r="F62" s="72"><f>IF(OR(A62&gt;&apos;Property Calculator&apos;!$B$70*12,D62&lt;=0),0,D62*C62/12)</f><v>836.57102829799942</v></c><c r="G62" s="72"><f>IF(OR(A62&gt;&apos;Property Calculator&apos;!$B$70*12,D62&lt;=0),0,MAX(0,MIN(D62,E62-F62)))</f><v>593.38932779481183</v></c><c r="H62" s="126"><v>0</v></c><c r="I62" s="72"><f>IF(A62&gt;&apos;Property Calculator&apos;!$B$70*12,0,MAX(0,D62-G62-J62))</f><v>286230.96323151921</v></c><c r="J62" s="72"><f>IF(OR(A62&gt;&apos;Property Calculator&apos;!$B$70*12,D62&lt;=0),0,MIN(H62,MAX(0,D62-G62)))</f><v>0</v></c></row><row r="63" spans="1:17" x14ac:dyDescent="0.25"><c r="A63"><v>60</v></c><c r="B63"><f t="shared" si="0"/>&lt;v&gt;5&lt;/v&gt;&lt;/c&gt;&lt;c r=&quot;C63&quot; s=&quot;37&quot;&gt;&lt;f&gt;IF(A63&gt;&apos;Property Calculator&apos;!$B$70*12,0,IF(AND(&apos;Property Calculator&apos;!$B$72=1,B63&gt;&apos;Property Calculator&apos;!$B$69),&apos;Property Calculator&apos;!$B$73,&apos;Property Calculator&apos;!$B$65))</f><v>3.5000000000000003E-2</v></c><c r="D63" s="72"><f>IF(A63&gt;&apos;Property Calculator&apos;!$B$70*12,0,I62)</f><v>286230.96323151921</v></c><c r="E63" s="72"><f>IF(OR(A63&gt;&apos;Property Calculator&apos;!$B$70*12,D63&lt;=0),0,IF(AND(&apos;Property Calculator&apos;!$B$72=1,B63&gt;&apos;Property Calculator&apos;!$B$69),MIN(D63*C63/12+&apos;Property Calculator&apos;!$B$74/12,D63*(1+C63/12)),MIN(&apos;Property Calculator&apos;!$B$67,D63*(1+C63/12))))</f><v>1429.9603560928113</v></c><c r="F63" s="72"><f>IF(OR(A63&gt;&apos;Property Calculator&apos;!$B$70*12,D63&lt;=0),0,D63*C63/12)</f><v>834.84030942526442</v></c><c r="G63" s="72"><f>IF(OR(A63&gt;&apos;Property Calculator&apos;!$B$70*12,D63&lt;=0),0,MAX(0,MIN(D63,E63-F63)))</f><v>595.12004666754683</v></c><c r="H63" s="126"><v>0</v></c><c r="I63" s="72"><f>IF(A63&gt;&apos;Property Calculator&apos;!$B$70*12,0,MAX(0,D63-G63-J63))</f><v>285635.84318485169</v></c><c r="J63" s="72"><f>IF(OR(A63&gt;&apos;Property Calculator&apos;!$B$70*12,D63&lt;=0),0,MIN(H63,MAX(0,D63-G63)))</f><v>0</v></c></row><row r="64" spans="1:17" x14ac:dyDescent="0.25"><c r="A64"><v>61</v></c><c r="B64"><f t="shared" si="0"/>&lt;v&gt;6&lt;/v&gt;&lt;/c&gt;&lt;c r=&quot;C64&quot; s=&quot;37&quot;&gt;&lt;f&gt;IF(A64&gt;&apos;Property Calculator&apos;!$B$70*12,0,IF(AND(&apos;Property Calculator&apos;!$B$72=1,B64&gt;&apos;Property Calculator&apos;!$B$69),&apos;Property Calculator&apos;!$B$73,&apos;Property Calculator&apos;!$B$65))</f><v>3.5000000000000003E-2</v></c><c r="D64" s="72"><f>IF(A64&gt;&apos;Property Calculator&apos;!$B$70*12,0,I63)</f><v>285635.84318485169</v></c><c r="E64" s="72"><f>IF(OR(A64&gt;&apos;Property Calculator&apos;!$B$70*12,D64&lt;=0),0,IF(AND(&apos;Property Calculator&apos;!$B$72=1,B64&gt;&apos;Property Calculator&apos;!$B$69),MIN(D64*C64/12+&apos;Property Calculator&apos;!$B$74/12,D64*(1+C64/12)),MIN(&apos;Property Calculator&apos;!$B$67,D64*(1+C64/12))))</f><v>1429.9603560928113</v></c><c r="F64" s="72"><f>IF(OR(A64&gt;&apos;Property Calculator&apos;!$B$70*12,D64&lt;=0),0,D64*C64/12)</f><v>833.10454262248413</v></c><c r="G64" s="72"><f>IF(OR(A64&gt;&apos;Property Calculator&apos;!$B$70*12,D64&lt;=0),0,MAX(0,MIN(D64,E64-F64)))</f><v>596.85581347032712</v></c><c r="H64" s="126"><v>0</v></c><c r="I64" s="72"><f>IF(A64&gt;&apos;Property Calculator&apos;!$B$70*12,0,MAX(0,D64-G64-J64))</f><v>285038.98737138137</v></c><c r="J64" s="72"><f>IF(OR(A64&gt;&apos;Property Calculator&apos;!$B$70*12,D64&lt;=0),0,MIN(H64,MAX(0,D64-G64)))</f><v>0</v></c></row><row r="65" spans="1:10" x14ac:dyDescent="0.25"><c r="A65"><v>62</v></c><c r="B65"><f t="shared" si="0"/>&lt;v&gt;6&lt;/v&gt;&lt;/c&gt;&lt;c r=&quot;C65&quot; s=&quot;37&quot;&gt;&lt;f&gt;IF(A65&gt;&apos;Property Calculator&apos;!$B$70*12,0,IF(AND(&apos;Property Calculator&apos;!$B$72=1,B65&gt;&apos;Property Calculator&apos;!$B$69),&apos;Property Calculator&apos;!$B$73,&apos;Property Calculator&apos;!$B$65))</f><v>3.5000000000000003E-2</v></c><c r="D65" s="72"><f>IF(A65&gt;&apos;Property Calculator&apos;!$B$70*12,0,I64)</f><v>285038.98737138137</v></c><c r="E65" s="72"><f>IF(OR(A65&gt;&apos;Property Calculator&apos;!$B$70*12,D65&lt;=0),0,IF(AND(&apos;Property Calculator&apos;!$B$72=1,B65&gt;&apos;Property Calculator&apos;!$B$69),MIN(D65*C65/12+&apos;Property Calculator&apos;!$B$74/12,D65*(1+C65/12)),MIN(&apos;Property Calculator&apos;!$B$67,D65*(1+C65/12))))</f><v>1429.9603560928113</v></c><c r="F65" s="72"><f>IF(OR(A65&gt;&apos;Property Calculator&apos;!$B$70*12,D65&lt;=0),0,D65*C65/12)</f><v>831.36371316652912</v></c><c r="G65" s="72"><f>IF(OR(A65&gt;&apos;Property Calculator&apos;!$B$70*12,D65&lt;=0),0,MAX(0,MIN(D65,E65-F65)))</f><v>598.59664292628213</v></c><c r="H65" s="126"><v>0</v></c><c r="I65" s="72"><f>IF(A65&gt;&apos;Property Calculator&apos;!$B$70*12,0,MAX(0,D65-G65-J65))</f><v>284440.3907284551</v></c><c r="J65" s="72"><f>IF(OR(A65&gt;&apos;Property Calculator&apos;!$B$70*12,D65&lt;=0),0,MIN(H65,MAX(0,D65-G65)))</f><v>0</v></c></row><row r="66" spans="1:10" x14ac:dyDescent="0.25"><c r="A66"><v>63</v></c><c r="B66"><f t="shared" si="0"/>&lt;v&gt;6&lt;/v&gt;&lt;/c&gt;&lt;c r=&quot;C66&quot; s=&quot;37&quot;&gt;&lt;f&gt;IF(A66&gt;&apos;Property Calculator&apos;!$B$70*12,0,IF(AND(&apos;Property Calculator&apos;!$B$72=1,B66&gt;&apos;Property Calculator&apos;!$B$69),&apos;Property Calculator&apos;!$B$73,&apos;Property Calculator&apos;!$B$65))</f><v>3.5000000000000003E-2</v></c><c r="D66" s="72"><f>IF(A66&gt;&apos;Property Calculator&apos;!$B$70*12,0,I65)</f><v>284440.3907284551</v></c><c r="E66" s="72"><f>IF(OR(A66&gt;&apos;Property Calculator&apos;!$B$70*12,D66&lt;=0),0,IF(AND(&apos;Property Calculator&apos;!$B$72=1,B66&gt;&apos;Property Calculator&apos;!$B$69),MIN(D66*C66/12+&apos;Property Calculator&apos;!$B$74/12,D66*(1+C66/12)),MIN(&apos;Property Calculator&apos;!$B$67,D66*(1+C66/12))))</f><v>1429.9603560928113</v></c><c r="F66" s="72"><f>IF(OR(A66&gt;&apos;Property Calculator&apos;!$B$70*12,D66&lt;=0),0,D66*C66/12)</f><v>829.61780629132738</v></c><c r="G66" s="72"><f>IF(OR(A66&gt;&apos;Property Calculator&apos;!$B$70*12,D66&lt;=0),0,MAX(0,MIN(D66,E66-F66)))</f><v>600.34254980148387</v></c><c r="H66" s="126"><v>0</v></c><c r="I66" s="72"><f>IF(A66&gt;&apos;Property Calculator&apos;!$B$70*12,0,MAX(0,D66-G66-J66))</f><v>283840.04817865364</v></c><c r="J66" s="72"><f>IF(OR(A66&gt;&apos;Property Calculator&apos;!$B$70*12,D66&lt;=0),0,MIN(H66,MAX(0,D66-G66)))</f><v>0</v></c></row><row r="67" spans="1:10" x14ac:dyDescent="0.25"><c r="A67"><v>64</v></c><c r="B67"><f t="shared" si="0"/>&lt;v&gt;6&lt;/v&gt;&lt;/c&gt;&lt;c r=&quot;C67&quot; s=&quot;37&quot;&gt;&lt;f&gt;IF(A67&gt;&apos;Property Calculator&apos;!$B$70*12,0,IF(AND(&apos;Property Calculator&apos;!$B$72=1,B67&gt;&apos;Property Calculator&apos;!$B$69),&apos;Property Calculator&apos;!$B$73,&apos;Property Calculator&apos;!$B$65))</f><v>3.5000000000000003E-2</v></c><c r="D67" s="72"><f>IF(A67&gt;&apos;Property Calculator&apos;!$B$70*12,0,I66)</f><v>283840.04817865364</v></c><c r="E67" s="72"><f>IF(OR(A67&gt;&apos;Property Calculator&apos;!$B$70*12,D67&lt;=0),0,IF(AND(&apos;Property Calculator&apos;!$B$72=1,B67&gt;&apos;Property Calculator&apos;!$B$69),MIN(D67*C67/12+&apos;Property Calculator&apos;!$B$74/12,D67*(1+C67/12)),MIN(&apos;Property Calculator&apos;!$B$67,D67*(1+C67/12))))</f><v>1429.9603560928113</v></c><c r="F67" s="72"><f>IF(OR(A67&gt;&apos;Property Calculator&apos;!$B$70*12,D67&lt;=0),0,D67*C67/12)</f><v>827.86680718773994</v></c><c r="G67" s="72"><f>IF(OR(A67&gt;&apos;Property Calculator&apos;!$B$70*12,D67&lt;=0),0,MAX(0,MIN(D67,E67-F67)))</f><v>602.09354890507132</v></c><c r="H67" s="126"><v>0</v></c><c r="I67" s="72"><f>IF(A67&gt;&apos;Property Calculator&apos;!$B$70*12,0,MAX(0,D67-G67-J67))</f><v>283237.95462974859</v></c><c r="J67" s="72"><f>IF(OR(A67&gt;&apos;Property Calculator&apos;!$B$70*12,D67&lt;=0),0,MIN(H67,MAX(0,D67-G67)))</f><v>0</v></c></row><row r="68" spans="1:10" x14ac:dyDescent="0.25"><c r="A68"><v>65</v></c><c r="B68"><f t="shared" ref="B68:B131" si="1">INT((A68-1)/12)+1</f><v>6</v></c><c r="C68" s="37"><f>IF(A68&gt;&apos;Property Calculator&apos;!$B$70*12,0,IF(AND(&apos;Property Calculator&apos;!$B$72=1,B68&gt;&apos;Property Calculator&apos;!$B$69),&apos;Property Calculator&apos;!$B$73,&apos;Property Calculator&apos;!$B$65))</f><v>3.5000000000000003E-2</v></c><c r="D68" s="72"><f>IF(A68&gt;&apos;Property Calculator&apos;!$B$70*12,0,I67)</f><v>283237.95462974859</v></c><c r="E68" s="72"><f>IF(OR(A68&gt;&apos;Property Calculator&apos;!$B$70*12,D68&lt;=0),0,IF(AND(&apos;Property Calculator&apos;!$B$72=1,B68&gt;&apos;Property Calculator&apos;!$B$69),MIN(D68*C68/12+&apos;Property Calculator&apos;!$B$74/12,D68*(1+C68/12)),MIN(&apos;Property Calculator&apos;!$B$67,D68*(1+C68/12))))</f><v>1429.9603560928113</v></c><c r="F68" s="72"><f>IF(OR(A68&gt;&apos;Property Calculator&apos;!$B$70*12,D68&lt;=0),0,D68*C68/12)</f><v>826.11070100343341</v></c><c r="G68" s="72"><f>IF(OR(A68&gt;&apos;Property Calculator&apos;!$B$70*12,D68&lt;=0),0,MAX(0,MIN(D68,E68-F68)))</f><v>603.84965508937785</v></c><c r="H68" s="126"><v>0</v></c><c r="I68" s="72"><f>IF(A68&gt;&apos;Property Calculator&apos;!$B$70*12,0,MAX(0,D68-G68-J68))</f><v>282634.10497465922</v></c><c r="J68" s="72"><f>IF(OR(A68&gt;&apos;Property Calculator&apos;!$B$70*12,D68&lt;=0),0,MIN(H68,MAX(0,D68-G68)))</f><v>0</v></c></row><row r="69" spans="1:10" x14ac:dyDescent="0.25"><c r="A69"><v>66</v></c><c r="B69"><f t="shared" si="1"/>&lt;v&gt;6&lt;/v&gt;&lt;/c&gt;&lt;c r=&quot;C69&quot; s=&quot;37&quot;&gt;&lt;f&gt;IF(A69&gt;&apos;Property Calculator&apos;!$B$70*12,0,IF(AND(&apos;Property Calculator&apos;!$B$72=1,B69&gt;&apos;Property Calculator&apos;!$B$69),&apos;Property Calculator&apos;!$B$73,&apos;Property Calculator&apos;!$B$65))</f><v>3.5000000000000003E-2</v></c><c r="D69" s="72"><f>IF(A69&gt;&apos;Property Calculator&apos;!$B$70*12,0,I68)</f><v>282634.10497465922</v></c><c r="E69" s="72"><f>IF(OR(A69&gt;&apos;Property Calculator&apos;!$B$70*12,D69&lt;=0),0,IF(AND(&apos;Property Calculator&apos;!$B$72=1,B69&gt;&apos;Property Calculator&apos;!$B$69),MIN(D69*C69/12+&apos;Property Calculator&apos;!$B$74/12,D69*(1+C69/12)),MIN(&apos;Property Calculator&apos;!$B$67,D69*(1+C69/12))))</f><v>1429.9603560928113</v></c><c r="F69" s="72"><f>IF(OR(A69&gt;&apos;Property Calculator&apos;!$B$70*12,D69&lt;=0),0,D69*C69/12)</f><v>824.3494728427562</v></c><c r="G69" s="72"><f>IF(OR(A69&gt;&apos;Property Calculator&apos;!$B$70*12,D69&lt;=0),0,MAX(0,MIN(D69,E69-F69)))</f><v>605.61088325005505</v></c><c r="H69" s="126"><v>0</v></c><c r="I69" s="72"><f>IF(A69&gt;&apos;Property Calculator&apos;!$B$70*12,0,MAX(0,D69-G69-J69))</f><v>282028.49409140914</v></c><c r="J69" s="72"><f>IF(OR(A69&gt;&apos;Property Calculator&apos;!$B$70*12,D69&lt;=0),0,MIN(H69,MAX(0,D69-G69)))</f><v>0</v></c></row><row r="70" spans="1:10" x14ac:dyDescent="0.25"><c r="A70"><v>67</v></c><c r="B70"><f t="shared" si="1"/>&lt;v&gt;6&lt;/v&gt;&lt;/c&gt;&lt;c r=&quot;C70&quot; s=&quot;37&quot;&gt;&lt;f&gt;IF(A70&gt;&apos;Property Calculator&apos;!$B$70*12,0,IF(AND(&apos;Property Calculator&apos;!$B$72=1,B70&gt;&apos;Property Calculator&apos;!$B$69),&apos;Property Calculator&apos;!$B$73,&apos;Property Calculator&apos;!$B$65))</f><v>3.5000000000000003E-2</v></c><c r="D70" s="72"><f>IF(A70&gt;&apos;Property Calculator&apos;!$B$70*12,0,I69)</f><v>282028.49409140914</v></c><c r="E70" s="72"><f>IF(OR(A70&gt;&apos;Property Calculator&apos;!$B$70*12,D70&lt;=0),0,IF(AND(&apos;Property Calculator&apos;!$B$72=1,B70&gt;&apos;Property Calculator&apos;!$B$69),MIN(D70*C70/12+&apos;Property Calculator&apos;!$B$74/12,D70*(1+C70/12)),MIN(&apos;Property Calculator&apos;!$B$67,D70*(1+C70/12))))</f><v>1429.9603560928113</v></c><c r="F70" s="72"><f>IF(OR(A70&gt;&apos;Property Calculator&apos;!$B$70*12,D70&lt;=0),0,D70*C70/12)</f><v>822.58310776661017</v></c><c r="G70" s="72"><f>IF(OR(A70&gt;&apos;Property Calculator&apos;!$B$70*12,D70&lt;=0),0,MAX(0,MIN(D70,E70-F70)))</f><v>607.37724832620108</v></c><c r="H70" s="126"><v>0</v></c><c r="I70" s="72"><f>IF(A70&gt;&apos;Property Calculator&apos;!$B$70*12,0,MAX(0,D70-G70-J70))</f><v>281421.11684308294</v></c><c r="J70" s="72"><f>IF(OR(A70&gt;&apos;Property Calculator&apos;!$B$70*12,D70&lt;=0),0,MIN(H70,MAX(0,D70-G70)))</f><v>0</v></c></row><row r="71" spans="1:10" x14ac:dyDescent="0.25"><c r="A71"><v>68</v></c><c r="B71"><f t="shared" si="1"/>&lt;v&gt;6&lt;/v&gt;&lt;/c&gt;&lt;c r=&quot;C71&quot; s=&quot;37&quot;&gt;&lt;f&gt;IF(A71&gt;&apos;Property Calculator&apos;!$B$70*12,0,IF(AND(&apos;Property Calculator&apos;!$B$72=1,B71&gt;&apos;Property Calculator&apos;!$B$69),&apos;Property Calculator&apos;!$B$73,&apos;Property Calculator&apos;!$B$65))</f><v>3.5000000000000003E-2</v></c><c r="D71" s="72"><f>IF(A71&gt;&apos;Property Calculator&apos;!$B$70*12,0,I70)</f><v>281421.11684308294</v></c><c r="E71" s="72"><f>IF(OR(A71&gt;&apos;Property Calculator&apos;!$B$70*12,D71&lt;=0),0,IF(AND(&apos;Property Calculator&apos;!$B$72=1,B71&gt;&apos;Property Calculator&apos;!$B$69),MIN(D71*C71/12+&apos;Property Calculator&apos;!$B$74/12,D71*(1+C71/12)),MIN(&apos;Property Calculator&apos;!$B$67,D71*(1+C71/12))))</f><v>1429.9603560928113</v></c><c r="F71" s="72"><f>IF(OR(A71&gt;&apos;Property Calculator&apos;!$B$70*12,D71&lt;=0),0,D71*C71/12)</f><v>820.81159079232532</v></c><c r="G71" s="72"><f>IF(OR(A71&gt;&apos;Property Calculator&apos;!$B$70*12,D71&lt;=0),0,MAX(0,MIN(D71,E71-F71)))</f><v>609.14876530048593</v></c><c r="H71" s="126"><v>0</v></c><c r="I71" s="72"><f>IF(A71&gt;&apos;Property Calculator&apos;!$B$70*12,0,MAX(0,D71-G71-J71))</f><v>280811.96807778248</v></c><c r="J71" s="72"><f>IF(OR(A71&gt;&apos;Property Calculator&apos;!$B$70*12,D71&lt;=0),0,MIN(H71,MAX(0,D71-G71)))</f><v>0</v></c></row><row r="72" spans="1:10" x14ac:dyDescent="0.25"><c r="A72"><v>69</v></c><c r="B72"><f t="shared" si="1"/>&lt;v&gt;6&lt;/v&gt;&lt;/c&gt;&lt;c r=&quot;C72&quot; s=&quot;37&quot;&gt;&lt;f&gt;IF(A72&gt;&apos;Property Calculator&apos;!$B$70*12,0,IF(AND(&apos;Property Calculator&apos;!$B$72=1,B72&gt;&apos;Property Calculator&apos;!$B$69),&apos;Property Calculator&apos;!$B$73,&apos;Property Calculator&apos;!$B$65))</f><v>3.5000000000000003E-2</v></c><c r="D72" s="72"><f>IF(A72&gt;&apos;Property Calculator&apos;!$B$70*12,0,I71)</f><v>280811.96807778248</v></c><c r="E72" s="72"><f>IF(OR(A72&gt;&apos;Property Calculator&apos;!$B$70*12,D72&lt;=0),0,IF(AND(&apos;Property Calculator&apos;!$B$72=1,B72&gt;&apos;Property Calculator&apos;!$B$69),MIN(D72*C72/12+&apos;Property Calculator&apos;!$B$74/12,D72*(1+C72/12)),MIN(&apos;Property Calculator&apos;!$B$67,D72*(1+C72/12))))</f><v>1429.9603560928113</v></c><c r="F72" s="72"><f>IF(OR(A72&gt;&apos;Property Calculator&apos;!$B$70*12,D72&lt;=0),0,D72*C72/12)</f><v>819.03490689353237</v></c><c r="G72" s="72"><f>IF(OR(A72&gt;&apos;Property Calculator&apos;!$B$70*12,D72&lt;=0),0,MAX(0,MIN(D72,E72-F72)))</f><v>610.92544919927889</v></c><c r="H72" s="126"><v>0</v></c><c r="I72" s="72"><f>IF(A72&gt;&apos;Property Calculator&apos;!$B$70*12,0,MAX(0,D72-G72-J72))</f><v>280201.04262858321</v></c><c r="J72" s="72"><f>IF(OR(A72&gt;&apos;Property Calculator&apos;!$B$70*12,D72&lt;=0),0,MIN(H72,MAX(0,D72-G72)))</f><v>0</v></c></row><row r="73" spans="1:10" x14ac:dyDescent="0.25"><c r="A73"><v>70</v></c><c r="B73"><f t="shared" si="1"/>&lt;v&gt;6&lt;/v&gt;&lt;/c&gt;&lt;c r=&quot;C73&quot; s=&quot;37&quot;&gt;&lt;f&gt;IF(A73&gt;&apos;Property Calculator&apos;!$B$70*12,0,IF(AND(&apos;Property Calculator&apos;!$B$72=1,B73&gt;&apos;Property Calculator&apos;!$B$69),&apos;Property Calculator&apos;!$B$73,&apos;Property Calculator&apos;!$B$65))</f><v>3.5000000000000003E-2</v></c><c r="D73" s="72"><f>IF(A73&gt;&apos;Property Calculator&apos;!$B$70*12,0,I72)</f><v>280201.04262858321</v></c><c r="E73" s="72"><f>IF(OR(A73&gt;&apos;Property Calculator&apos;!$B$70*12,D73&lt;=0),0,IF(AND(&apos;Property Calculator&apos;!$B$72=1,B73&gt;&apos;Property Calculator&apos;!$B$69),MIN(D73*C73/12+&apos;Property Calculator&apos;!$B$74/12,D73*(1+C73/12)),MIN(&apos;Property Calculator&apos;!$B$67,D73*(1+C73/12))))</f><v>1429.9603560928113</v></c><c r="F73" s="72"><f>IF(OR(A73&gt;&apos;Property Calculator&apos;!$B$70*12,D73&lt;=0),0,D73*C73/12)</f><v>817.2530410000345</v></c><c r="G73" s="72"><f>IF(OR(A73&gt;&apos;Property Calculator&apos;!$B$70*12,D73&lt;=0),0,MAX(0,MIN(D73,E73-F73)))</f><v>612.70731509277675</v></c><c r="H73" s="126"><v>0</v></c><c r="I73" s="72"><f>IF(A73&gt;&apos;Property Calculator&apos;!$B$70*12,0,MAX(0,D73-G73-J73))</f><v>279588.33531349042</v></c><c r="J73" s="72"><f>IF(OR(A73&gt;&apos;Property Calculator&apos;!$B$70*12,D73&lt;=0),0,MIN(H73,MAX(0,D73-G73)))</f><v>0</v></c></row><row r="74" spans="1:10" x14ac:dyDescent="0.25"><c r="A74"><v>71</v></c><c r="B74"><f t="shared" si="1"/>&lt;v&gt;6&lt;/v&gt;&lt;/c&gt;&lt;c r=&quot;C74&quot; s=&quot;37&quot;&gt;&lt;f&gt;IF(A74&gt;&apos;Property Calculator&apos;!$B$70*12,0,IF(AND(&apos;Property Calculator&apos;!$B$72=1,B74&gt;&apos;Property Calculator&apos;!$B$69),&apos;Property Calculator&apos;!$B$73,&apos;Property Calculator&apos;!$B$65))</f><v>3.5000000000000003E-2</v></c><c r="D74" s="72"><f>IF(A74&gt;&apos;Property Calculator&apos;!$B$70*12,0,I73)</f><v>279588.33531349042</v></c><c r="E74" s="72"><f>IF(OR(A74&gt;&apos;Property Calculator&apos;!$B$70*12,D74&lt;=0),0,IF(AND(&apos;Property Calculator&apos;!$B$72=1,B74&gt;&apos;Property Calculator&apos;!$B$69),MIN(D74*C74/12+&apos;Property Calculator&apos;!$B$74/12,D74*(1+C74/12)),MIN(&apos;Property Calculator&apos;!$B$67,D74*(1+C74/12))))</f><v>1429.9603560928113</v></c><c r="F74" s="72"><f>IF(OR(A74&gt;&apos;Property Calculator&apos;!$B$70*12,D74&lt;=0),0,D74*C74/12)</f><v>815.46597799768051</v></c><c r="G74" s="72"><f>IF(OR(A74&gt;&apos;Property Calculator&apos;!$B$70*12,D74&lt;=0),0,MAX(0,MIN(D74,E74-F74)))</f><v>614.49437809513074</v></c><c r="H74" s="126"><v>0</v></c><c r="I74" s="72"><f>IF(A74&gt;&apos;Property Calculator&apos;!$B$70*12,0,MAX(0,D74-G74-J74))</f><v>278973.84093539527</v></c><c r="J74" s="72"><f>IF(OR(A74&gt;&apos;Property Calculator&apos;!$B$70*12,D74&lt;=0),0,MIN(H74,MAX(0,D74-G74)))</f><v>0</v></c></row><row r="75" spans="1:10" x14ac:dyDescent="0.25"><c r="A75"><v>72</v></c><c r="B75"><f t="shared" si="1"/>&lt;v&gt;6&lt;/v&gt;&lt;/c&gt;&lt;c r=&quot;C75&quot; s=&quot;37&quot;&gt;&lt;f&gt;IF(A75&gt;&apos;Property Calculator&apos;!$B$70*12,0,IF(AND(&apos;Property Calculator&apos;!$B$72=1,B75&gt;&apos;Property Calculator&apos;!$B$69),&apos;Property Calculator&apos;!$B$73,&apos;Property Calculator&apos;!$B$65))</f><v>3.5000000000000003E-2</v></c><c r="D75" s="72"><f>IF(A75&gt;&apos;Property Calculator&apos;!$B$70*12,0,I74)</f><v>278973.84093539527</v></c><c r="E75" s="72"><f>IF(OR(A75&gt;&apos;Property Calculator&apos;!$B$70*12,D75&lt;=0),0,IF(AND(&apos;Property Calculator&apos;!$B$72=1,B75&gt;&apos;Property Calculator&apos;!$B$69),MIN(D75*C75/12+&apos;Property Calculator&apos;!$B$74/12,D75*(1+C75/12)),MIN(&apos;Property Calculator&apos;!$B$67,D75*(1+C75/12))))</f><v>1429.9603560928113</v></c><c r="F75" s="72"><f>IF(OR(A75&gt;&apos;Property Calculator&apos;!$B$70*12,D75&lt;=0),0,D75*C75/12)</f><v>813.67370272823621</v></c><c r="G75" s="72"><f>IF(OR(A75&gt;&apos;Property Calculator&apos;!$B$70*12,D75&lt;=0),0,MAX(0,MIN(D75,E75-F75)))</f><v>616.28665336457505</v></c><c r="H75" s="126"><v>0</v></c><c r="I75" s="72"><f>IF(A75&gt;&apos;Property Calculator&apos;!$B$70*12,0,MAX(0,D75-G75-J75))</f><v>278357.55428203067</v></c><c r="J75" s="72"><f>IF(OR(A75&gt;&apos;Property Calculator&apos;!$B$70*12,D75&lt;=0),0,MIN(H75,MAX(0,D75-G75)))</f><v>0</v></c></row><row r="76" spans="1:10" x14ac:dyDescent="0.25"><c r="A76"><v>73</v></c><c r="B76"><f t="shared" si="1"/>&lt;v&gt;7&lt;/v&gt;&lt;/c&gt;&lt;c r=&quot;C76&quot; s=&quot;37&quot;&gt;&lt;f&gt;IF(A76&gt;&apos;Property Calculator&apos;!$B$70*12,0,IF(AND(&apos;Property Calculator&apos;!$B$72=1,B76&gt;&apos;Property Calculator&apos;!$B$69),&apos;Property Calculator&apos;!$B$73,&apos;Property Calculator&apos;!$B$65))</f><v>3.5000000000000003E-2</v></c><c r="D76" s="72"><f>IF(A76&gt;&apos;Property Calculator&apos;!$B$70*12,0,I75)</f><v>278357.55428203067</v></c><c r="E76" s="72"><f>IF(OR(A76&gt;&apos;Property Calculator&apos;!$B$70*12,D76&lt;=0),0,IF(AND(&apos;Property Calculator&apos;!$B$72=1,B76&gt;&apos;Property Calculator&apos;!$B$69),MIN(D76*C76/12+&apos;Property Calculator&apos;!$B$74/12,D76*(1+C76/12)),MIN(&apos;Property Calculator&apos;!$B$67,D76*(1+C76/12))))</f><v>1429.9603560928113</v></c><c r="F76" s="72"><f>IF(OR(A76&gt;&apos;Property Calculator&apos;!$B$70*12,D76&lt;=0),0,D76*C76/12)</f><v>811.87619998925618</v></c><c r="G76" s="72"><f>IF(OR(A76&gt;&apos;Property Calculator&apos;!$B$70*12,D76&lt;=0),0,MAX(0,MIN(D76,E76-F76)))</f><v>618.08415610355507</v></c><c r="H76" s="126"><v>0</v></c><c r="I76" s="72"><f>IF(A76&gt;&apos;Property Calculator&apos;!$B$70*12,0,MAX(0,D76-G76-J76))</f><v>277739.47012592712</v></c><c r="J76" s="72"><f>IF(OR(A76&gt;&apos;Property Calculator&apos;!$B$70*12,D76&lt;=0),0,MIN(H76,MAX(0,D76-G76)))</f><v>0</v></c></row><row r="77" spans="1:10" x14ac:dyDescent="0.25"><c r="A77"><v>74</v></c><c r="B77"><f t="shared" si="1"/>&lt;v&gt;7&lt;/v&gt;&lt;/c&gt;&lt;c r=&quot;C77&quot; s=&quot;37&quot;&gt;&lt;f&gt;IF(A77&gt;&apos;Property Calculator&apos;!$B$70*12,0,IF(AND(&apos;Property Calculator&apos;!$B$72=1,B77&gt;&apos;Property Calculator&apos;!$B$69),&apos;Property Calculator&apos;!$B$73,&apos;Property Calculator&apos;!$B$65))</f><v>3.5000000000000003E-2</v></c><c r="D77" s="72"><f>IF(A77&gt;&apos;Property Calculator&apos;!$B$70*12,0,I76)</f><v>277739.47012592712</v></c><c r="E77" s="72"><f>IF(OR(A77&gt;&apos;Property Calculator&apos;!$B$70*12,D77&lt;=0),0,IF(AND(&apos;Property Calculator&apos;!$B$72=1,B77&gt;&apos;Property Calculator&apos;!$B$69),MIN(D77*C77/12+&apos;Property Calculator&apos;!$B$74/12,D77*(1+C77/12)),MIN(&apos;Property Calculator&apos;!$B$67,D77*(1+C77/12))))</f><v>1429.9603560928113</v></c><c r="F77" s="72"><f>IF(OR(A77&gt;&apos;Property Calculator&apos;!$B$70*12,D77&lt;=0),0,D77*C77/12)</f><v>810.07345453395419</v></c><c r="G77" s="72"><f>IF(OR(A77&gt;&apos;Property Calculator&apos;!$B$70*12,D77&lt;=0),0,MAX(0,MIN(D77,E77-F77)))</f><v>619.88690155885706</v></c><c r="H77" s="126"><v>0</v></c><c r="I77" s="72"><f>IF(A77&gt;&apos;Property Calculator&apos;!$B$70*12,0,MAX(0,D77-G77-J77))</f><v>277119.58322436828</v></c><c r="J77" s="72"><f>IF(OR(A77&gt;&apos;Property Calculator&apos;!$B$70*12,D77&lt;=0),0,MIN(H77,MAX(0,D77-G77)))</f><v>0</v></c></row><row r="78" spans="1:10" x14ac:dyDescent="0.25"><c r="A78"><v>75</v></c><c r="B78"><f t="shared" si="1"/>&lt;v&gt;7&lt;/v&gt;&lt;/c&gt;&lt;c r=&quot;C78&quot; s=&quot;37&quot;&gt;&lt;f&gt;IF(A78&gt;&apos;Property Calculator&apos;!$B$70*12,0,IF(AND(&apos;Property Calculator&apos;!$B$72=1,B78&gt;&apos;Property Calculator&apos;!$B$69),&apos;Property Calculator&apos;!$B$73,&apos;Property Calculator&apos;!$B$65))</f><v>3.5000000000000003E-2</v></c><c r="D78" s="72"><f>IF(A78&gt;&apos;Property Calculator&apos;!$B$70*12,0,I77)</f><v>277119.58322436828</v></c><c r="E78" s="72"><f>IF(OR(A78&gt;&apos;Property Calculator&apos;!$B$70*12,D78&lt;=0),0,IF(AND(&apos;Property Calculator&apos;!$B$72=1,B78&gt;&apos;Property Calculator&apos;!$B$69),MIN(D78*C78/12+&apos;Property Calculator&apos;!$B$74/12,D78*(1+C78/12)),MIN(&apos;Property Calculator&apos;!$B$67,D78*(1+C78/12))))</f><v>1429.9603560928113</v></c><c r="F78" s="72"><f>IF(OR(A78&gt;&apos;Property Calculator&apos;!$B$70*12,D78&lt;=0),0,D78*C78/12)</f><v>808.26545107107415</v></c><c r="G78" s="72"><f>IF(OR(A78&gt;&apos;Property Calculator&apos;!$B$70*12,D78&lt;=0),0,MAX(0,MIN(D78,E78-F78)))</f><v>621.6949050217371</v></c><c r="H78" s="126"><v>0</v></c><c r="I78" s="72"><f>IF(A78&gt;&apos;Property Calculator&apos;!$B$70*12,0,MAX(0,D78-G78-J78))</f><v>276497.88831934653</v></c><c r="J78" s="72"><f>IF(OR(A78&gt;&apos;Property Calculator&apos;!$B$70*12,D78&lt;=0),0,MIN(H78,MAX(0,D78-G78)))</f><v>0</v></c></row><row r="79" spans="1:10" x14ac:dyDescent="0.25"><c r="A79"><v>76</v></c><c r="B79"><f t="shared" si="1"/>&lt;v&gt;7&lt;/v&gt;&lt;/c&gt;&lt;c r=&quot;C79&quot; s=&quot;37&quot;&gt;&lt;f&gt;IF(A79&gt;&apos;Property Calculator&apos;!$B$70*12,0,IF(AND(&apos;Property Calculator&apos;!$B$72=1,B79&gt;&apos;Property Calculator&apos;!$B$69),&apos;Property Calculator&apos;!$B$73,&apos;Property Calculator&apos;!$B$65))</f><v>3.5000000000000003E-2</v></c><c r="D79" s="72"><f>IF(A79&gt;&apos;Property Calculator&apos;!$B$70*12,0,I78)</f><v>276497.88831934653</v></c><c r="E79" s="72"><f>IF(OR(A79&gt;&apos;Property Calculator&apos;!$B$70*12,D79&lt;=0),0,IF(AND(&apos;Property Calculator&apos;!$B$72=1,B79&gt;&apos;Property Calculator&apos;!$B$69),MIN(D79*C79/12+&apos;Property Calculator&apos;!$B$74/12,D79*(1+C79/12)),MIN(&apos;Property Calculator&apos;!$B$67,D79*(1+C79/12))))</f><v>1429.9603560928113</v></c><c r="F79" s="72"><f>IF(OR(A79&gt;&apos;Property Calculator&apos;!$B$70*12,D79&lt;=0),0,D79*C79/12)</f><v>806.45217426476074</v></c><c r="G79" s="72"><f>IF(OR(A79&gt;&apos;Property Calculator&apos;!$B$70*12,D79&lt;=0),0,MAX(0,MIN(D79,E79-F79)))</f><v>623.50818182805051</v></c><c r="H79" s="126"><v>0</v></c><c r="I79" s="72"><f>IF(A79&gt;&apos;Property Calculator&apos;!$B$70*12,0,MAX(0,D79-G79-J79))</f><v>275874.38013751846</v></c><c r="J79" s="72"><f>IF(OR(A79&gt;&apos;Property Calculator&apos;!$B$70*12,D79&lt;=0),0,MIN(H79,MAX(0,D79-G79)))</f><v>0</v></c></row><row r="80" spans="1:10" x14ac:dyDescent="0.25"><c r="A80"><v>77</v></c><c r="B80"><f t="shared" si="1"/>&lt;v&gt;7&lt;/v&gt;&lt;/c&gt;&lt;c r=&quot;C80&quot; s=&quot;37&quot;&gt;&lt;f&gt;IF(A80&gt;&apos;Property Calculator&apos;!$B$70*12,0,IF(AND(&apos;Property Calculator&apos;!$B$72=1,B80&gt;&apos;Property Calculator&apos;!$B$69),&apos;Property Calculator&apos;!$B$73,&apos;Property Calculator&apos;!$B$65))</f><v>3.5000000000000003E-2</v></c><c r="D80" s="72"><f>IF(A80&gt;&apos;Property Calculator&apos;!$B$70*12,0,I79)</f><v>275874.38013751846</v></c><c r="E80" s="72"><f>IF(OR(A80&gt;&apos;Property Calculator&apos;!$B$70*12,D80&lt;=0),0,IF(AND(&apos;Property Calculator&apos;!$B$72=1,B80&gt;&apos;Property Calculator&apos;!$B$69),MIN(D80*C80/12+&apos;Property Calculator&apos;!$B$74/12,D80*(1+C80/12)),MIN(&apos;Property Calculator&apos;!$B$67,D80*(1+C80/12))))</f><v>1429.9603560928113</v></c><c r="F80" s="72"><f>IF(OR(A80&gt;&apos;Property Calculator&apos;!$B$70*12,D80&lt;=0),0,D80*C80/12)</f><v>804.63360873442889</v></c><c r="G80" s="72"><f>IF(OR(A80&gt;&apos;Property Calculator&apos;!$B$70*12,D80&lt;=0),0,MAX(0,MIN(D80,E80-F80)))</f><v>625.32674735838236</v></c><c r="H80" s="126"><v>0</v></c><c r="I80" s="72"><f>IF(A80&gt;&apos;Property Calculator&apos;!$B$70*12,0,MAX(0,D80-G80-J80))</f><v>275249.05339016009</v></c><c r="J80" s="72"><f>IF(OR(A80&gt;&apos;Property Calculator&apos;!$B$70*12,D80&lt;=0),0,MIN(H80,MAX(0,D80-G80)))</f><v>0</v></c></row><row r="81" spans="1:10" x14ac:dyDescent="0.25"><c r="A81"><v>78</v></c><c r="B81"><f t="shared" si="1"/>&lt;v&gt;7&lt;/v&gt;&lt;/c&gt;&lt;c r=&quot;C81&quot; s=&quot;37&quot;&gt;&lt;f&gt;IF(A81&gt;&apos;Property Calculator&apos;!$B$70*12,0,IF(AND(&apos;Property Calculator&apos;!$B$72=1,B81&gt;&apos;Property Calculator&apos;!$B$69),&apos;Property Calculator&apos;!$B$73,&apos;Property Calculator&apos;!$B$65))</f><v>3.5000000000000003E-2</v></c><c r="D81" s="72"><f>IF(A81&gt;&apos;Property Calculator&apos;!$B$70*12,0,I80)</f><v>275249.05339016009</v></c><c r="E81" s="72"><f>IF(OR(A81&gt;&apos;Property Calculator&apos;!$B$70*12,D81&lt;=0),0,IF(AND(&apos;Property Calculator&apos;!$B$72=1,B81&gt;&apos;Property Calculator&apos;!$B$69),MIN(D81*C81/12+&apos;Property Calculator&apos;!$B$74/12,D81*(1+C81/12)),MIN(&apos;Property Calculator&apos;!$B$67,D81*(1+C81/12))))</f><v>1429.9603560928113</v></c><c r="F81" s="72"><f>IF(OR(A81&gt;&apos;Property Calculator&apos;!$B$70*12,D81&lt;=0),0,D81*C81/12)</f><v>802.80973905463361</v></c><c r="G81" s="72"><f>IF(OR(A81&gt;&apos;Property Calculator&apos;!$B$70*12,D81&lt;=0),0,MAX(0,MIN(D81,E81-F81)))</f><v>627.15061703817764</v></c><c r="H81" s="126"><v>0</v></c><c r="I81" s="72"><f>IF(A81&gt;&apos;Property Calculator&apos;!$B$70*12,0,MAX(0,D81-G81-J81))</f><v>274621.9027731219</v></c><c r="J81" s="72"><f>IF(OR(A81&gt;&apos;Property Calculator&apos;!$B$70*12,D81&lt;=0),0,MIN(H81,MAX(0,D81-G81)))</f><v>0</v></c></row><row r="82" spans="1:10" x14ac:dyDescent="0.25"><c r="A82"><v>79</v></c><c r="B82"><f t="shared" si="1"/>&lt;v&gt;7&lt;/v&gt;&lt;/c&gt;&lt;c r=&quot;C82&quot; s=&quot;37&quot;&gt;&lt;f&gt;IF(A82&gt;&apos;Property Calculator&apos;!$B$70*12,0,IF(AND(&apos;Property Calculator&apos;!$B$72=1,B82&gt;&apos;Property Calculator&apos;!$B$69),&apos;Property Calculator&apos;!$B$73,&apos;Property Calculator&apos;!$B$65))</f><v>3.5000000000000003E-2</v></c><c r="D82" s="72"><f>IF(A82&gt;&apos;Property Calculator&apos;!$B$70*12,0,I81)</f><v>274621.9027731219</v></c><c r="E82" s="72"><f>IF(OR(A82&gt;&apos;Property Calculator&apos;!$B$70*12,D82&lt;=0),0,IF(AND(&apos;Property Calculator&apos;!$B$72=1,B82&gt;&apos;Property Calculator&apos;!$B$69),MIN(D82*C82/12+&apos;Property Calculator&apos;!$B$74/12,D82*(1+C82/12)),MIN(&apos;Property Calculator&apos;!$B$67,D82*(1+C82/12))))</f><v>1429.9603560928113</v></c><c r="F82" s="72"><f>IF(OR(A82&gt;&apos;Property Calculator&apos;!$B$70*12,D82&lt;=0),0,D82*C82/12)</f><v>800.98054975493903</v></c><c r="G82" s="72"><f>IF(OR(A82&gt;&apos;Property Calculator&apos;!$B$70*12,D82&lt;=0),0,MAX(0,MIN(D82,E82-F82)))</f><v>628.97980633787222</v></c><c r="H82" s="126"><v>0</v></c><c r="I82" s="72"><f>IF(A82&gt;&apos;Property Calculator&apos;!$B$70*12,0,MAX(0,D82-G82-J82))</f><v>273992.92296678404</v></c><c r="J82" s="72"><f>IF(OR(A82&gt;&apos;Property Calculator&apos;!$B$70*12,D82&lt;=0),0,MIN(H82,MAX(0,D82-G82)))</f><v>0</v></c></row><row r="83" spans="1:10" x14ac:dyDescent="0.25"><c r="A83"><v>80</v></c><c r="B83"><f t="shared" si="1"/>&lt;v&gt;7&lt;/v&gt;&lt;/c&gt;&lt;c r=&quot;C83&quot; s=&quot;37&quot;&gt;&lt;f&gt;IF(A83&gt;&apos;Property Calculator&apos;!$B$70*12,0,IF(AND(&apos;Property Calculator&apos;!$B$72=1,B83&gt;&apos;Property Calculator&apos;!$B$69),&apos;Property Calculator&apos;!$B$73,&apos;Property Calculator&apos;!$B$65))</f><v>3.5000000000000003E-2</v></c><c r="D83" s="72"><f>IF(A83&gt;&apos;Property Calculator&apos;!$B$70*12,0,I82)</f><v>273992.92296678404</v></c><c r="E83" s="72"><f>IF(OR(A83&gt;&apos;Property Calculator&apos;!$B$70*12,D83&lt;=0),0,IF(AND(&apos;Property Calculator&apos;!$B$72=1,B83&gt;&apos;Property Calculator&apos;!$B$69),MIN(D83*C83/12+&apos;Property Calculator&apos;!$B$74/12,D83*(1+C83/12)),MIN(&apos;Property Calculator&apos;!$B$67,D83*(1+C83/12))))</f><v>1429.9603560928113</v></c><c r="F83" s="72"><f>IF(OR(A83&gt;&apos;Property Calculator&apos;!$B$70*12,D83&lt;=0),0,D83*C83/12)</f><v>799.14602531978687</v></c><c r="G83" s="72"><f>IF(OR(A83&gt;&apos;Property Calculator&apos;!$B$70*12,D83&lt;=0),0,MAX(0,MIN(D83,E83-F83)))</f><v>630.81433077302438</v></c><c r="H83" s="126"><v>0</v></c><c r="I83" s="72"><f>IF(A83&gt;&apos;Property Calculator&apos;!$B$70*12,0,MAX(0,D83-G83-J83))</f><v>273362.10863601102</v></c><c r="J83" s="72"><f>IF(OR(A83&gt;&apos;Property Calculator&apos;!$B$70*12,D83&lt;=0),0,MIN(H83,MAX(0,D83-G83)))</f><v>0</v></c></row><row r="84" spans="1:10" x14ac:dyDescent="0.25"><c r="A84"><v>81</v></c><c r="B84"><f t="shared" si="1"/>&lt;v&gt;7&lt;/v&gt;&lt;/c&gt;&lt;c r=&quot;C84&quot; s=&quot;37&quot;&gt;&lt;f&gt;IF(A84&gt;&apos;Property Calculator&apos;!$B$70*12,0,IF(AND(&apos;Property Calculator&apos;!$B$72=1,B84&gt;&apos;Property Calculator&apos;!$B$69),&apos;Property Calculator&apos;!$B$73,&apos;Property Calculator&apos;!$B$65))</f><v>3.5000000000000003E-2</v></c><c r="D84" s="72"><f>IF(A84&gt;&apos;Property Calculator&apos;!$B$70*12,0,I83)</f><v>273362.10863601102</v></c><c r="E84" s="72"><f>IF(OR(A84&gt;&apos;Property Calculator&apos;!$B$70*12,D84&lt;=0),0,IF(AND(&apos;Property Calculator&apos;!$B$72=1,B84&gt;&apos;Property Calculator&apos;!$B$69),MIN(D84*C84/12+&apos;Property Calculator&apos;!$B$74/12,D84*(1+C84/12)),MIN(&apos;Property Calculator&apos;!$B$67,D84*(1+C84/12))))</f><v>1429.9603560928113</v></c><c r="F84" s="72"><f>IF(OR(A84&gt;&apos;Property Calculator&apos;!$B$70*12,D84&lt;=0),0,D84*C84/12)</f><v>797.30615018836545</v></c><c r="G84" s="72"><f>IF(OR(A84&gt;&apos;Property Calculator&apos;!$B$70*12,D84&lt;=0),0,MAX(0,MIN(D84,E84-F84)))</f><v>632.6542059044458</v></c><c r="H84" s="126"><v>0</v></c><c r="I84" s="72"><f>IF(A84&gt;&apos;Property Calculator&apos;!$B$70*12,0,MAX(0,D84-G84-J84))</f><v>272729.45443010656</v></c><c r="J84" s="72"><f>IF(OR(A84&gt;&apos;Property Calculator&apos;!$B$70*12,D84&lt;=0),0,MIN(H84,MAX(0,D84-G84)))</f><v>0</v></c></row><row r="85" spans="1:10" x14ac:dyDescent="0.25"><c r="A85"><v>82</v></c><c r="B85"><f t="shared" si="1"/>&lt;v&gt;7&lt;/v&gt;&lt;/c&gt;&lt;c r=&quot;C85&quot; s=&quot;37&quot;&gt;&lt;f&gt;IF(A85&gt;&apos;Property Calculator&apos;!$B$70*12,0,IF(AND(&apos;Property Calculator&apos;!$B$72=1,B85&gt;&apos;Property Calculator&apos;!$B$69),&apos;Property Calculator&apos;!$B$73,&apos;Property Calculator&apos;!$B$65))</f><v>3.5000000000000003E-2</v></c><c r="D85" s="72"><f>IF(A85&gt;&apos;Property Calculator&apos;!$B$70*12,0,I84)</f><v>272729.45443010656</v></c><c r="E85" s="72"><f>IF(OR(A85&gt;&apos;Property Calculator&apos;!$B$70*12,D85&lt;=0),0,IF(AND(&apos;Property Calculator&apos;!$B$72=1,B85&gt;&apos;Property Calculator&apos;!$B$69),MIN(D85*C85/12+&apos;Property Calculator&apos;!$B$74/12,D85*(1+C85/12)),MIN(&apos;Property Calculator&apos;!$B$67,D85*(1+C85/12))))</f><v>1429.9603560928113</v></c><c r="F85" s="72"><f>IF(OR(A85&gt;&apos;Property Calculator&apos;!$B$70*12,D85&lt;=0),0,D85*C85/12)</f><v>795.4609087544776</v></c><c r="G85" s="72"><f>IF(OR(A85&gt;&apos;Property Calculator&apos;!$B$70*12,D85&lt;=0),0,MAX(0,MIN(D85,E85-F85)))</f><v>634.49944733833365</v></c><c r="H85" s="126"><v>0</v></c><c r="I85" s="72"><f>IF(A85&gt;&apos;Property Calculator&apos;!$B$70*12,0,MAX(0,D85-G85-J85))</f><v>272094.95498276822</v></c><c r="J85" s="72"><f>IF(OR(A85&gt;&apos;Property Calculator&apos;!$B$70*12,D85&lt;=0),0,MIN(H85,MAX(0,D85-G85)))</f><v>0</v></c></row><row r="86" spans="1:10" x14ac:dyDescent="0.25"><c r="A86"><v>83</v></c><c r="B86"><f t="shared" si="1"/>&lt;v&gt;7&lt;/v&gt;&lt;/c&gt;&lt;c r=&quot;C86&quot; s=&quot;37&quot;&gt;&lt;f&gt;IF(A86&gt;&apos;Property Calculator&apos;!$B$70*12,0,IF(AND(&apos;Property Calculator&apos;!$B$72=1,B86&gt;&apos;Property Calculator&apos;!$B$69),&apos;Property Calculator&apos;!$B$73,&apos;Property Calculator&apos;!$B$65))</f><v>3.5000000000000003E-2</v></c><c r="D86" s="72"><f>IF(A86&gt;&apos;Property Calculator&apos;!$B$70*12,0,I85)</f><v>272094.95498276822</v></c><c r="E86" s="72"><f>IF(OR(A86&gt;&apos;Property Calculator&apos;!$B$70*12,D86&lt;=0),0,IF(AND(&apos;Property Calculator&apos;!$B$72=1,B86&gt;&apos;Property Calculator&apos;!$B$69),MIN(D86*C86/12+&apos;Property Calculator&apos;!$B$74/12,D86*(1+C86/12)),MIN(&apos;Property Calculator&apos;!$B$67,D86*(1+C86/12))))</f><v>1429.9603560928113</v></c><c r="F86" s="72"><f>IF(OR(A86&gt;&apos;Property Calculator&apos;!$B$70*12,D86&lt;=0),0,D86*C86/12)</f><v>793.61028536640742</v></c><c r="G86" s="72"><f>IF(OR(A86&gt;&apos;Property Calculator&apos;!$B$70*12,D86&lt;=0),0,MAX(0,MIN(D86,E86-F86)))</f><v>636.35007072640383</v></c><c r="H86" s="126"><v>0</v></c><c r="I86" s="72"><f>IF(A86&gt;&apos;Property Calculator&apos;!$B$70*12,0,MAX(0,D86-G86-J86))</f><v>271458.6049120418</v></c><c r="J86" s="72"><f>IF(OR(A86&gt;&apos;Property Calculator&apos;!$B$70*12,D86&lt;=0),0,MIN(H86,MAX(0,D86-G86)))</f><v>0</v></c></row><row r="87" spans="1:10" x14ac:dyDescent="0.25"><c r="A87"><v>84</v></c><c r="B87"><f t="shared" si="1"/>&lt;v&gt;7&lt;/v&gt;&lt;/c&gt;&lt;c r=&quot;C87&quot; s=&quot;37&quot;&gt;&lt;f&gt;IF(A87&gt;&apos;Property Calculator&apos;!$B$70*12,0,IF(AND(&apos;Property Calculator&apos;!$B$72=1,B87&gt;&apos;Property Calculator&apos;!$B$69),&apos;Property Calculator&apos;!$B$73,&apos;Property Calculator&apos;!$B$65))</f><v>3.5000000000000003E-2</v></c><c r="D87" s="72"><f>IF(A87&gt;&apos;Property Calculator&apos;!$B$70*12,0,I86)</f><v>271458.6049120418</v></c><c r="E87" s="72"><f>IF(OR(A87&gt;&apos;Property Calculator&apos;!$B$70*12,D87&lt;=0),0,IF(AND(&apos;Property Calculator&apos;!$B$72=1,B87&gt;&apos;Property Calculator&apos;!$B$69),MIN(D87*C87/12+&apos;Property Calculator&apos;!$B$74/12,D87*(1+C87/12)),MIN(&apos;Property Calculator&apos;!$B$67,D87*(1+C87/12))))</f><v>1429.9603560928113</v></c><c r="F87" s="72"><f>IF(OR(A87&gt;&apos;Property Calculator&apos;!$B$70*12,D87&lt;=0),0,D87*C87/12)</f><v>791.75426432678876</v></c><c r="G87" s="72"><f>IF(OR(A87&gt;&apos;Property Calculator&apos;!$B$70*12,D87&lt;=0),0,MAX(0,MIN(D87,E87-F87)))</f><v>638.2060917660225</v></c><c r="H87" s="126"><v>0</v></c><c r="I87" s="72"><f>IF(A87&gt;&apos;Property Calculator&apos;!$B$70*12,0,MAX(0,D87-G87-J87))</f><v>270820.39882027579</v></c><c r="J87" s="72"><f>IF(OR(A87&gt;&apos;Property Calculator&apos;!$B$70*12,D87&lt;=0),0,MIN(H87,MAX(0,D87-G87)))</f><v>0</v></c></row><row r="88" spans="1:10" x14ac:dyDescent="0.25"><c r="A88"><v>85</v></c><c r="B88"><f t="shared" si="1"/>&lt;v&gt;8&lt;/v&gt;&lt;/c&gt;&lt;c r=&quot;C88&quot; s=&quot;37&quot;&gt;&lt;f&gt;IF(A88&gt;&apos;Property Calculator&apos;!$B$70*12,0,IF(AND(&apos;Property Calculator&apos;!$B$72=1,B88&gt;&apos;Property Calculator&apos;!$B$69),&apos;Property Calculator&apos;!$B$73,&apos;Property Calculator&apos;!$B$65))</f><v>3.5000000000000003E-2</v></c><c r="D88" s="72"><f>IF(A88&gt;&apos;Property Calculator&apos;!$B$70*12,0,I87)</f><v>270820.39882027579</v></c><c r="E88" s="72"><f>IF(OR(A88&gt;&apos;Property Calculator&apos;!$B$70*12,D88&lt;=0),0,IF(AND(&apos;Property Calculator&apos;!$B$72=1,B88&gt;&apos;Property Calculator&apos;!$B$69),MIN(D88*C88/12+&apos;Property Calculator&apos;!$B$74/12,D88*(1+C88/12)),MIN(&apos;Property Calculator&apos;!$B$67,D88*(1+C88/12))))</f><v>1429.9603560928113</v></c><c r="F88" s="72"><f>IF(OR(A88&gt;&apos;Property Calculator&apos;!$B$70*12,D88&lt;=0),0,D88*C88/12)</f><v>789.89282989247113</v></c><c r="G88" s="72"><f>IF(OR(A88&gt;&apos;Property Calculator&apos;!$B$70*12,D88&lt;=0),0,MAX(0,MIN(D88,E88-F88)))</f><v>640.06752620034013</v></c><c r="H88" s="126"><v>0</v></c><c r="I88" s="72"><f>IF(A88&gt;&apos;Property Calculator&apos;!$B$70*12,0,MAX(0,D88-G88-J88))</f><v>270180.33129407547</v></c><c r="J88" s="72"><f>IF(OR(A88&gt;&apos;Property Calculator&apos;!$B$70*12,D88&lt;=0),0,MIN(H88,MAX(0,D88-G88)))</f><v>0</v></c></row><row r="89" spans="1:10" x14ac:dyDescent="0.25"><c r="A89"><v>86</v></c><c r="B89"><f t="shared" si="1"/>&lt;v&gt;8&lt;/v&gt;&lt;/c&gt;&lt;c r=&quot;C89&quot; s=&quot;37&quot;&gt;&lt;f&gt;IF(A89&gt;&apos;Property Calculator&apos;!$B$70*12,0,IF(AND(&apos;Property Calculator&apos;!$B$72=1,B89&gt;&apos;Property Calculator&apos;!$B$69),&apos;Property Calculator&apos;!$B$73,&apos;Property Calculator&apos;!$B$65))</f><v>3.5000000000000003E-2</v></c><c r="D89" s="72"><f>IF(A89&gt;&apos;Property Calculator&apos;!$B$70*12,0,I88)</f><v>270180.33129407547</v></c><c r="E89" s="72"><f>IF(OR(A89&gt;&apos;Property Calculator&apos;!$B$70*12,D89&lt;=0),0,IF(AND(&apos;Property Calculator&apos;!$B$72=1,B89&gt;&apos;Property Calculator&apos;!$B$69),MIN(D89*C89/12+&apos;Property Calculator&apos;!$B$74/12,D89*(1+C89/12)),MIN(&apos;Property Calculator&apos;!$B$67,D89*(1+C89/12))))</f><v>1429.9603560928113</v></c><c r="F89" s="72"><f>IF(OR(A89&gt;&apos;Property Calculator&apos;!$B$70*12,D89&lt;=0),0,D89*C89/12)</f><v>788.02596627438686</v></c><c r="G89" s="72"><f>IF(OR(A89&gt;&apos;Property Calculator&apos;!$B$70*12,D89&lt;=0),0,MAX(0,MIN(D89,E89-F89)))</f><v>641.93438981842439</v></c><c r="H89" s="126"><v>0</v></c><c r="I89" s="72"><f>IF(A89&gt;&apos;Property Calculator&apos;!$B$70*12,0,MAX(0,D89-G89-J89))</f><v>269538.39690425707</v></c><c r="J89" s="72"><f>IF(OR(A89&gt;&apos;Property Calculator&apos;!$B$70*12,D89&lt;=0),0,MIN(H89,MAX(0,D89-G89)))</f><v>0</v></c></row><row r="90" spans="1:10" x14ac:dyDescent="0.25"><c r="A90"><v>87</v></c><c r="B90"><f t="shared" si="1"/>&lt;v&gt;8&lt;/v&gt;&lt;/c&gt;&lt;c r=&quot;C90&quot; s=&quot;37&quot;&gt;&lt;f&gt;IF(A90&gt;&apos;Property Calculator&apos;!$B$70*12,0,IF(AND(&apos;Property Calculator&apos;!$B$72=1,B90&gt;&apos;Property Calculator&apos;!$B$69),&apos;Property Calculator&apos;!$B$73,&apos;Property Calculator&apos;!$B$65))</f><v>3.5000000000000003E-2</v></c><c r="D90" s="72"><f>IF(A90&gt;&apos;Property Calculator&apos;!$B$70*12,0,I89)</f><v>269538.39690425707</v></c><c r="E90" s="72"><f>IF(OR(A90&gt;&apos;Property Calculator&apos;!$B$70*12,D90&lt;=0),0,IF(AND(&apos;Property Calculator&apos;!$B$72=1,B90&gt;&apos;Property Calculator&apos;!$B$69),MIN(D90*C90/12+&apos;Property Calculator&apos;!$B$74/12,D90*(1+C90/12)),MIN(&apos;Property Calculator&apos;!$B$67,D90*(1+C90/12))))</f><v>1429.9603560928113</v></c><c r="F90" s="72"><f>IF(OR(A90&gt;&apos;Property Calculator&apos;!$B$70*12,D90&lt;=0),0,D90*C90/12)</f><v>786.15365763741647</v></c><c r="G90" s="72"><f>IF(OR(A90&gt;&apos;Property Calculator&apos;!$B$70*12,D90&lt;=0),0,MAX(0,MIN(D90,E90-F90)))</f><v>643.80669845539478</v></c><c r="H90" s="126"><v>0</v></c><c r="I90" s="72"><f>IF(A90&gt;&apos;Property Calculator&apos;!$B$70*12,0,MAX(0,D90-G90-J90))</f><v>268894.59020580165</v></c><c r="J90" s="72"><f>IF(OR(A90&gt;&apos;Property Calculator&apos;!$B$70*12,D90&lt;=0),0,MIN(H90,MAX(0,D90-G90)))</f><v>0</v></c></row><row r="91" spans="1:10" x14ac:dyDescent="0.25"><c r="A91"><v>88</v></c><c r="B91"><f t="shared" si="1"/>&lt;v&gt;8&lt;/v&gt;&lt;/c&gt;&lt;c r=&quot;C91&quot; s=&quot;37&quot;&gt;&lt;f&gt;IF(A91&gt;&apos;Property Calculator&apos;!$B$70*12,0,IF(AND(&apos;Property Calculator&apos;!$B$72=1,B91&gt;&apos;Property Calculator&apos;!$B$69),&apos;Property Calculator&apos;!$B$73,&apos;Property Calculator&apos;!$B$65))</f><v>3.5000000000000003E-2</v></c><c r="D91" s="72"><f>IF(A91&gt;&apos;Property Calculator&apos;!$B$70*12,0,I90)</f><v>268894.59020580165</v></c><c r="E91" s="72"><f>IF(OR(A91&gt;&apos;Property Calculator&apos;!$B$70*12,D91&lt;=0),0,IF(AND(&apos;Property Calculator&apos;!$B$72=1,B91&gt;&apos;Property Calculator&apos;!$B$69),MIN(D91*C91/12+&apos;Property Calculator&apos;!$B$74/12,D91*(1+C91/12)),MIN(&apos;Property Calculator&apos;!$B$67,D91*(1+C91/12))))</f><v>1429.9603560928113</v></c><c r="F91" s="72"><f>IF(OR(A91&gt;&apos;Property Calculator&apos;!$B$70*12,D91&lt;=0),0,D91*C91/12)</f><v>784.27588810025497</v></c><c r="G91" s="72"><f>IF(OR(A91&gt;&apos;Property Calculator&apos;!$B$70*12,D91&lt;=0),0,MAX(0,MIN(D91,E91-F91)))</f><v>645.68446799255628</v></c><c r="H91" s="126"><v>0</v></c><c r="I91" s="72"><f>IF(A91&gt;&apos;Property Calculator&apos;!$B$70*12,0,MAX(0,D91-G91-J91))</f><v>268248.90573780908</v></c><c r="J91" s="72"><f>IF(OR(A91&gt;&apos;Property Calculator&apos;!$B$70*12,D91&lt;=0),0,MIN(H91,MAX(0,D91-G91)))</f><v>0</v></c></row><row r="92" spans="1:10" x14ac:dyDescent="0.25"><c r="A92"><v>89</v></c><c r="B92"><f t="shared" si="1"/>&lt;v&gt;8&lt;/v&gt;&lt;/c&gt;&lt;c r=&quot;C92&quot; s=&quot;37&quot;&gt;&lt;f&gt;IF(A92&gt;&apos;Property Calculator&apos;!$B$70*12,0,IF(AND(&apos;Property Calculator&apos;!$B$72=1,B92&gt;&apos;Property Calculator&apos;!$B$69),&apos;Property Calculator&apos;!$B$73,&apos;Property Calculator&apos;!$B$65))</f><v>3.5000000000000003E-2</v></c><c r="D92" s="72"><f>IF(A92&gt;&apos;Property Calculator&apos;!$B$70*12,0,I91)</f><v>268248.90573780908</v></c><c r="E92" s="72"><f>IF(OR(A92&gt;&apos;Property Calculator&apos;!$B$70*12,D92&lt;=0),0,IF(AND(&apos;Property Calculator&apos;!$B$72=1,B92&gt;&apos;Property Calculator&apos;!$B$69),MIN(D92*C92/12+&apos;Property Calculator&apos;!$B$74/12,D92*(1+C92/12)),MIN(&apos;Property Calculator&apos;!$B$67,D92*(1+C92/12))))</f><v>1429.9603560928113</v></c><c r="F92" s="72"><f>IF(OR(A92&gt;&apos;Property Calculator&apos;!$B$70*12,D92&lt;=0),0,D92*C92/12)</f><v>782.39264173527647</v></c><c r="G92" s="72"><f>IF(OR(A92&gt;&apos;Property Calculator&apos;!$B$70*12,D92&lt;=0),0,MAX(0,MIN(D92,E92-F92)))</f><v>647.56771435753478</v></c><c r="H92" s="126"><v>0</v></c><c r="I92" s="72"><f>IF(A92&gt;&apos;Property Calculator&apos;!$B$70*12,0,MAX(0,D92-G92-J92))</f><v>267601.33802345156</v></c><c r="J92" s="72"><f>IF(OR(A92&gt;&apos;Property Calculator&apos;!$B$70*12,D92&lt;=0),0,MIN(H92,MAX(0,D92-G92)))</f><v>0</v></c></row><row r="93" spans="1:10" x14ac:dyDescent="0.25"><c r="A93"><v>90</v></c><c r="B93"><f t="shared" si="1"/>&lt;v&gt;8&lt;/v&gt;&lt;/c&gt;&lt;c r=&quot;C93&quot; s=&quot;37&quot;&gt;&lt;f&gt;IF(A93&gt;&apos;Property Calculator&apos;!$B$70*12,0,IF(AND(&apos;Property Calculator&apos;!$B$72=1,B93&gt;&apos;Property Calculator&apos;!$B$69),&apos;Property Calculator&apos;!$B$73,&apos;Property Calculator&apos;!$B$65))</f><v>3.5000000000000003E-2</v></c><c r="D93" s="72"><f>IF(A93&gt;&apos;Property Calculator&apos;!$B$70*12,0,I92)</f><v>267601.33802345156</v></c><c r="E93" s="72"><f>IF(OR(A93&gt;&apos;Property Calculator&apos;!$B$70*12,D93&lt;=0),0,IF(AND(&apos;Property Calculator&apos;!$B$72=1,B93&gt;&apos;Property Calculator&apos;!$B$69),MIN(D93*C93/12+&apos;Property Calculator&apos;!$B$74/12,D93*(1+C93/12)),MIN(&apos;Property Calculator&apos;!$B$67,D93*(1+C93/12))))</f><v>1429.9603560928113</v></c><c r="F93" s="72"><f>IF(OR(A93&gt;&apos;Property Calculator&apos;!$B$70*12,D93&lt;=0),0,D93*C93/12)</f><v>780.50390256840046</v></c><c r="G93" s="72"><f>IF(OR(A93&gt;&apos;Property Calculator&apos;!$B$70*12,D93&lt;=0),0,MAX(0,MIN(D93,E93-F93)))</f><v>649.45645352441079</v></c><c r="H93" s="126"><v>0</v></c><c r="I93" s="72"><f>IF(A93&gt;&apos;Property Calculator&apos;!$B$70*12,0,MAX(0,D93-G93-J93))</f><v>266951.88156992715</v></c><c r="J93" s="72"><f>IF(OR(A93&gt;&apos;Property Calculator&apos;!$B$70*12,D93&lt;=0),0,MIN(H93,MAX(0,D93-G93)))</f><v>0</v></c></row><row r="94" spans="1:10" x14ac:dyDescent="0.25"><c r="A94"><v>91</v></c><c r="B94"><f t="shared" si="1"/>&lt;v&gt;8&lt;/v&gt;&lt;/c&gt;&lt;c r=&quot;C94&quot; s=&quot;37&quot;&gt;&lt;f&gt;IF(A94&gt;&apos;Property Calculator&apos;!$B$70*12,0,IF(AND(&apos;Property Calculator&apos;!$B$72=1,B94&gt;&apos;Property Calculator&apos;!$B$69),&apos;Property Calculator&apos;!$B$73,&apos;Property Calculator&apos;!$B$65))</f><v>3.5000000000000003E-2</v></c><c r="D94" s="72"><f>IF(A94&gt;&apos;Property Calculator&apos;!$B$70*12,0,I93)</f><v>266951.88156992715</v></c><c r="E94" s="72"><f>IF(OR(A94&gt;&apos;Property Calculator&apos;!$B$70*12,D94&lt;=0),0,IF(AND(&apos;Property Calculator&apos;!$B$72=1,B94&gt;&apos;Property Calculator&apos;!$B$69),MIN(D94*C94/12+&apos;Property Calculator&apos;!$B$74/12,D94*(1+C94/12)),MIN(&apos;Property Calculator&apos;!$B$67,D94*(1+C94/12))))</f><v>1429.9603560928113</v></c><c r="F94" s="72"><f>IF(OR(A94&gt;&apos;Property Calculator&apos;!$B$70*12,D94&lt;=0),0,D94*C94/12)</f><v>778.60965457895429</v></c><c r="G94" s="72"><f>IF(OR(A94&gt;&apos;Property Calculator&apos;!$B$70*12,D94&lt;=0),0,MAX(0,MIN(D94,E94-F94)))</f><v>651.35070151385696</v></c><c r="H94" s="126"><v>0</v></c><c r="I94" s="72"><f>IF(A94&gt;&apos;Property Calculator&apos;!$B$70*12,0,MAX(0,D94-G94-J94))</f><v>266300.53086841328</v></c><c r="J94" s="72"><f>IF(OR(A94&gt;&apos;Property Calculator&apos;!$B$70*12,D94&lt;=0),0,MIN(H94,MAX(0,D94-G94)))</f><v>0</v></c></row><row r="95" spans="1:10" x14ac:dyDescent="0.25"><c r="A95"><v>92</v></c><c r="B95"><f t="shared" si="1"/>&lt;v&gt;8&lt;/v&gt;&lt;/c&gt;&lt;c r=&quot;C95&quot; s=&quot;37&quot;&gt;&lt;f&gt;IF(A95&gt;&apos;Property Calculator&apos;!$B$70*12,0,IF(AND(&apos;Property Calculator&apos;!$B$72=1,B95&gt;&apos;Property Calculator&apos;!$B$69),&apos;Property Calculator&apos;!$B$73,&apos;Property Calculator&apos;!$B$65))</f><v>3.5000000000000003E-2</v></c><c r="D95" s="72"><f>IF(A95&gt;&apos;Property Calculator&apos;!$B$70*12,0,I94)</f><v>266300.53086841328</v></c><c r="E95" s="72"><f>IF(OR(A95&gt;&apos;Property Calculator&apos;!$B$70*12,D95&lt;=0),0,IF(AND(&apos;Property Calculator&apos;!$B$72=1,B95&gt;&apos;Property Calculator&apos;!$B$69),MIN(D95*C95/12+&apos;Property Calculator&apos;!$B$74/12,D95*(1+C95/12)),MIN(&apos;Property Calculator&apos;!$B$67,D95*(1+C95/12))))</f><v>1429.9603560928113</v></c><c r="F95" s="72"><f>IF(OR(A95&gt;&apos;Property Calculator&apos;!$B$70*12,D95&lt;=0),0,D95*C95/12)</f><v>776.70988169953887</v></c><c r="G95" s="72"><f>IF(OR(A95&gt;&apos;Property Calculator&apos;!$B$70*12,D95&lt;=0),0,MAX(0,MIN(D95,E95-F95)))</f><v>653.25047439327238</v></c><c r="H95" s="126"><v>0</v></c><c r="I95" s="72"><f>IF(A95&gt;&apos;Property Calculator&apos;!$B$70*12,0,MAX(0,D95-G95-J95))</f><v>265647.28039402002</v></c><c r="J95" s="72"><f>IF(OR(A95&gt;&apos;Property Calculator&apos;!$B$70*12,D95&lt;=0),0,MIN(H95,MAX(0,D95-G95)))</f><v>0</v></c></row><row r="96" spans="1:10" x14ac:dyDescent="0.25"><c r="A96"><v>93</v></c><c r="B96"><f t="shared" si="1"/>&lt;v&gt;8&lt;/v&gt;&lt;/c&gt;&lt;c r=&quot;C96&quot; s=&quot;37&quot;&gt;&lt;f&gt;IF(A96&gt;&apos;Property Calculator&apos;!$B$70*12,0,IF(AND(&apos;Property Calculator&apos;!$B$72=1,B96&gt;&apos;Property Calculator&apos;!$B$69),&apos;Property Calculator&apos;!$B$73,&apos;Property Calculator&apos;!$B$65))</f><v>3.5000000000000003E-2</v></c><c r="D96" s="72"><f>IF(A96&gt;&apos;Property Calculator&apos;!$B$70*12,0,I95)</f><v>265647.28039402002</v></c><c r="E96" s="72"><f>IF(OR(A96&gt;&apos;Property Calculator&apos;!$B$70*12,D96&lt;=0),0,IF(AND(&apos;Property Calculator&apos;!$B$72=1,B96&gt;&apos;Property Calculator&apos;!$B$69),MIN(D96*C96/12+&apos;Property Calculator&apos;!$B$74/12,D96*(1+C96/12)),MIN(&apos;Property Calculator&apos;!$B$67,D96*(1+C96/12))))</f><v>1429.9603560928113</v></c><c r="F96" s="72"><f>IF(OR(A96&gt;&apos;Property Calculator&apos;!$B$70*12,D96&lt;=0),0,D96*C96/12)</f><v>774.8045678158918</v></c><c r="G96" s="72"><f>IF(OR(A96&gt;&apos;Property Calculator&apos;!$B$70*12,D96&lt;=0),0,MAX(0,MIN(D96,E96-F96)))</f><v>655.15578827691945</v></c><c r="H96" s="126"><v>0</v></c><c r="I96" s="72"><f>IF(A96&gt;&apos;Property Calculator&apos;!$B$70*12,0,MAX(0,D96-G96-J96))</f><v>264992.1246057431</v></c><c r="J96" s="72"><f>IF(OR(A96&gt;&apos;Property Calculator&apos;!$B$70*12,D96&lt;=0),0,MIN(H96,MAX(0,D96-G96)))</f><v>0</v></c></row><row r="97" spans="1:10" x14ac:dyDescent="0.25"><c r="A97"><v>94</v></c><c r="B97"><f t="shared" si="1"/>&lt;v&gt;8&lt;/v&gt;&lt;/c&gt;&lt;c r=&quot;C97&quot; s=&quot;37&quot;&gt;&lt;f&gt;IF(A97&gt;&apos;Property Calculator&apos;!$B$70*12,0,IF(AND(&apos;Property Calculator&apos;!$B$72=1,B97&gt;&apos;Property Calculator&apos;!$B$69),&apos;Property Calculator&apos;!$B$73,&apos;Property Calculator&apos;!$B$65))</f><v>3.5000000000000003E-2</v></c><c r="D97" s="72"><f>IF(A97&gt;&apos;Property Calculator&apos;!$B$70*12,0,I96)</f><v>264992.1246057431</v></c><c r="E97" s="72"><f>IF(OR(A97&gt;&apos;Property Calculator&apos;!$B$70*12,D97&lt;=0),0,IF(AND(&apos;Property Calculator&apos;!$B$72=1,B97&gt;&apos;Property Calculator&apos;!$B$69),MIN(D97*C97/12+&apos;Property Calculator&apos;!$B$74/12,D97*(1+C97/12)),MIN(&apos;Property Calculator&apos;!$B$67,D97*(1+C97/12))))</f><v>1429.9603560928113</v></c><c r="F97" s="72"><f>IF(OR(A97&gt;&apos;Property Calculator&apos;!$B$70*12,D97&lt;=0),0,D97*C97/12)</f><v>772.89369676675085</v></c><c r="G97" s="72"><f>IF(OR(A97&gt;&apos;Property Calculator&apos;!$B$70*12,D97&lt;=0),0,MAX(0,MIN(D97,E97-F97)))</f><v>657.0666593260604</v></c><c r="H97" s="126"><v>0</v></c><c r="I97" s="72"><f>IF(A97&gt;&apos;Property Calculator&apos;!$B$70*12,0,MAX(0,D97-G97-J97))</f><v>264335.05794641702</v></c><c r="J97" s="72"><f>IF(OR(A97&gt;&apos;Property Calculator&apos;!$B$70*12,D97&lt;=0),0,MIN(H97,MAX(0,D97-G97)))</f><v>0</v></c></row><row r="98" spans="1:10" x14ac:dyDescent="0.25"><c r="A98"><v>95</v></c><c r="B98"><f t="shared" si="1"/>&lt;v&gt;8&lt;/v&gt;&lt;/c&gt;&lt;c r=&quot;C98&quot; s=&quot;37&quot;&gt;&lt;f&gt;IF(A98&gt;&apos;Property Calculator&apos;!$B$70*12,0,IF(AND(&apos;Property Calculator&apos;!$B$72=1,B98&gt;&apos;Property Calculator&apos;!$B$69),&apos;Property Calculator&apos;!$B$73,&apos;Property Calculator&apos;!$B$65))</f><v>3.5000000000000003E-2</v></c><c r="D98" s="72"><f>IF(A98&gt;&apos;Property Calculator&apos;!$B$70*12,0,I97)</f><v>264335.05794641702</v></c><c r="E98" s="72"><f>IF(OR(A98&gt;&apos;Property Calculator&apos;!$B$70*12,D98&lt;=0),0,IF(AND(&apos;Property Calculator&apos;!$B$72=1,B98&gt;&apos;Property Calculator&apos;!$B$69),MIN(D98*C98/12+&apos;Property Calculator&apos;!$B$74/12,D98*(1+C98/12)),MIN(&apos;Property Calculator&apos;!$B$67,D98*(1+C98/12))))</f><v>1429.9603560928113</v></c><c r="F98" s="72"><f>IF(OR(A98&gt;&apos;Property Calculator&apos;!$B$70*12,D98&lt;=0),0,D98*C98/12)</f><v>770.97725234371637</v></c><c r="G98" s="72"><f>IF(OR(A98&gt;&apos;Property Calculator&apos;!$B$70*12,D98&lt;=0),0,MAX(0,MIN(D98,E98-F98)))</f><v>658.98310374909488</v></c><c r="H98" s="126"><v>0</v></c><c r="I98" s="72"><f>IF(A98&gt;&apos;Property Calculator&apos;!$B$70*12,0,MAX(0,D98-G98-J98))</f><v>263676.07484266791</v></c><c r="J98" s="72"><f>IF(OR(A98&gt;&apos;Property Calculator&apos;!$B$70*12,D98&lt;=0),0,MIN(H98,MAX(0,D98-G98)))</f><v>0</v></c></row><row r="99" spans="1:10" x14ac:dyDescent="0.25"><c r="A99"><v>96</v></c><c r="B99"><f t="shared" si="1"/>&lt;v&gt;8&lt;/v&gt;&lt;/c&gt;&lt;c r=&quot;C99&quot; s=&quot;37&quot;&gt;&lt;f&gt;IF(A99&gt;&apos;Property Calculator&apos;!$B$70*12,0,IF(AND(&apos;Property Calculator&apos;!$B$72=1,B99&gt;&apos;Property Calculator&apos;!$B$69),&apos;Property Calculator&apos;!$B$73,&apos;Property Calculator&apos;!$B$65))</f><v>3.5000000000000003E-2</v></c><c r="D99" s="72"><f>IF(A99&gt;&apos;Property Calculator&apos;!$B$70*12,0,I98)</f><v>263676.07484266791</v></c><c r="E99" s="72"><f>IF(OR(A99&gt;&apos;Property Calculator&apos;!$B$70*12,D99&lt;=0),0,IF(AND(&apos;Property Calculator&apos;!$B$72=1,B99&gt;&apos;Property Calculator&apos;!$B$69),MIN(D99*C99/12+&apos;Property Calculator&apos;!$B$74/12,D99*(1+C99/12)),MIN(&apos;Property Calculator&apos;!$B$67,D99*(1+C99/12))))</f><v>1429.9603560928113</v></c><c r="F99" s="72"><f>IF(OR(A99&gt;&apos;Property Calculator&apos;!$B$70*12,D99&lt;=0),0,D99*C99/12)</f><v>769.05521829111478</v></c><c r="G99" s="72"><f>IF(OR(A99&gt;&apos;Property Calculator&apos;!$B$70*12,D99&lt;=0),0,MAX(0,MIN(D99,E99-F99)))</f><v>660.90513780169647</v></c><c r="H99" s="126"><v>0</v></c><c r="I99" s="72"><f>IF(A99&gt;&apos;Property Calculator&apos;!$B$70*12,0,MAX(0,D99-G99-J99))</f><v>263015.16970486619</v></c><c r="J99" s="72"><f>IF(OR(A99&gt;&apos;Property Calculator&apos;!$B$70*12,D99&lt;=0),0,MIN(H99,MAX(0,D99-G99)))</f><v>0</v></c></row><row r="100" spans="1:10" x14ac:dyDescent="0.25"><c r="A100"><v>97</v></c><c r="B100"><f t="shared" si="1"/>&lt;v&gt;9&lt;/v&gt;&lt;/c&gt;&lt;c r=&quot;C100&quot; s=&quot;37&quot;&gt;&lt;f&gt;IF(A100&gt;&apos;Property Calculator&apos;!$B$70*12,0,IF(AND(&apos;Property Calculator&apos;!$B$72=1,B100&gt;&apos;Property Calculator&apos;!$B$69),&apos;Property Calculator&apos;!$B$73,&apos;Property Calculator&apos;!$B$65))</f><v>3.5000000000000003E-2</v></c><c r="D100" s="72"><f>IF(A100&gt;&apos;Property Calculator&apos;!$B$70*12,0,I99)</f><v>263015.16970486619</v></c><c r="E100" s="72"><f>IF(OR(A100&gt;&apos;Property Calculator&apos;!$B$70*12,D100&lt;=0),0,IF(AND(&apos;Property Calculator&apos;!$B$72=1,B100&gt;&apos;Property Calculator&apos;!$B$69),MIN(D100*C100/12+&apos;Property Calculator&apos;!$B$74/12,D100*(1+C100/12)),MIN(&apos;Property Calculator&apos;!$B$67,D100*(1+C100/12))))</f><v>1429.9603560928113</v></c><c r="F100" s="72"><f>IF(OR(A100&gt;&apos;Property Calculator&apos;!$B$70*12,D100&lt;=0),0,D100*C100/12)</f><v>767.12757830585986</v></c><c r="G100" s="72"><f>IF(OR(A100&gt;&apos;Property Calculator&apos;!$B$70*12,D100&lt;=0),0,MAX(0,MIN(D100,E100-F100)))</f><v>662.8327777869514</v></c><c r="H100" s="126"><v>0</v></c><c r="I100" s="72"><f>IF(A100&gt;&apos;Property Calculator&apos;!$B$70*12,0,MAX(0,D100-G100-J100))</f><v>262352.33692707925</v></c><c r="J100" s="72"><f>IF(OR(A100&gt;&apos;Property Calculator&apos;!$B$70*12,D100&lt;=0),0,MIN(H100,MAX(0,D100-G100)))</f><v>0</v></c></row><row r="101" spans="1:10" x14ac:dyDescent="0.25"><c r="A101"><v>98</v></c><c r="B101"><f t="shared" si="1"/>&lt;v&gt;9&lt;/v&gt;&lt;/c&gt;&lt;c r=&quot;C101&quot; s=&quot;37&quot;&gt;&lt;f&gt;IF(A101&gt;&apos;Property Calculator&apos;!$B$70*12,0,IF(AND(&apos;Property Calculator&apos;!$B$72=1,B101&gt;&apos;Property Calculator&apos;!$B$69),&apos;Property Calculator&apos;!$B$73,&apos;Property Calculator&apos;!$B$65))</f><v>3.5000000000000003E-2</v></c><c r="D101" s="72"><f>IF(A101&gt;&apos;Property Calculator&apos;!$B$70*12,0,I100)</f><v>262352.33692707925</v></c><c r="E101" s="72"><f>IF(OR(A101&gt;&apos;Property Calculator&apos;!$B$70*12,D101&lt;=0),0,IF(AND(&apos;Property Calculator&apos;!$B$72=1,B101&gt;&apos;Property Calculator&apos;!$B$69),MIN(D101*C101/12+&apos;Property Calculator&apos;!$B$74/12,D101*(1+C101/12)),MIN(&apos;Property Calculator&apos;!$B$67,D101*(1+C101/12))))</f><v>1429.9603560928113</v></c><c r="F101" s="72"><f>IF(OR(A101&gt;&apos;Property Calculator&apos;!$B$70*12,D101&lt;=0),0,D101*C101/12)</f><v>765.19431603731448</v></c><c r="G101" s="72"><f>IF(OR(A101&gt;&apos;Property Calculator&apos;!$B$70*12,D101&lt;=0),0,MAX(0,MIN(D101,E101-F101)))</f><v>664.76604005549677</v></c><c r="H101" s="126"><v>0</v></c><c r="I101" s="72"><f>IF(A101&gt;&apos;Property Calculator&apos;!$B$70*12,0,MAX(0,D101-G101-J101))</f><v>261687.57088702376</v></c><c r="J101" s="72"><f>IF(OR(A101&gt;&apos;Property Calculator&apos;!$B$70*12,D101&lt;=0),0,MIN(H101,MAX(0,D101-G101)))</f><v>0</v></c></row><row r="102" spans="1:10" x14ac:dyDescent="0.25"><c r="A102"><v>99</v></c><c r="B102"><f t="shared" si="1"/>&lt;v&gt;9&lt;/v&gt;&lt;/c&gt;&lt;c r=&quot;C102&quot; s=&quot;37&quot;&gt;&lt;f&gt;IF(A102&gt;&apos;Property Calculator&apos;!$B$70*12,0,IF(AND(&apos;Property Calculator&apos;!$B$72=1,B102&gt;&apos;Property Calculator&apos;!$B$69),&apos;Property Calculator&apos;!$B$73,&apos;Property Calculator&apos;!$B$65))</f><v>3.5000000000000003E-2</v></c><c r="D102" s="72"><f>IF(A102&gt;&apos;Property Calculator&apos;!$B$70*12,0,I101)</f><v>261687.57088702376</v></c><c r="E102" s="72"><f>IF(OR(A102&gt;&apos;Property Calculator&apos;!$B$70*12,D102&lt;=0),0,IF(AND(&apos;Property Calculator&apos;!$B$72=1,B102&gt;&apos;Property Calculator&apos;!$B$69),MIN(D102*C102/12+&apos;Property Calculator&apos;!$B$74/12,D102*(1+C102/12)),MIN(&apos;Property Calculator&apos;!$B$67,D102*(1+C102/12))))</f><v>1429.9603560928113</v></c><c r="F102" s="72"><f>IF(OR(A102&gt;&apos;Property Calculator&apos;!$B$70*12,D102&lt;=0),0,D102*C102/12)</f><v>763.25541508715276</v></c><c r="G102" s="72"><f>IF(OR(A102&gt;&apos;Property Calculator&apos;!$B$70*12,D102&lt;=0),0,MAX(0,MIN(D102,E102-F102)))</f><v>666.7049410056585</v></c><c r="H102" s="126"><v>0</v></c><c r="I102" s="72"><f>IF(A102&gt;&apos;Property Calculator&apos;!$B$70*12,0,MAX(0,D102-G102-J102))</f><v>261020.86594601811</v></c><c r="J102" s="72"><f>IF(OR(A102&gt;&apos;Property Calculator&apos;!$B$70*12,D102&lt;=0),0,MIN(H102,MAX(0,D102-G102)))</f><v>0</v></c></row><row r="103" spans="1:10" x14ac:dyDescent="0.25"><c r="A103"><v>100</v></c><c r="B103"><f t="shared" si="1"/>&lt;v&gt;9&lt;/v&gt;&lt;/c&gt;&lt;c r=&quot;C103&quot; s=&quot;37&quot;&gt;&lt;f&gt;IF(A103&gt;&apos;Property Calculator&apos;!$B$70*12,0,IF(AND(&apos;Property Calculator&apos;!$B$72=1,B103&gt;&apos;Property Calculator&apos;!$B$69),&apos;Property Calculator&apos;!$B$73,&apos;Property Calculator&apos;!$B$65))</f><v>3.5000000000000003E-2</v></c><c r="D103" s="72"><f>IF(A103&gt;&apos;Property Calculator&apos;!$B$70*12,0,I102)</f><v>261020.86594601811</v></c><c r="E103" s="72"><f>IF(OR(A103&gt;&apos;Property Calculator&apos;!$B$70*12,D103&lt;=0),0,IF(AND(&apos;Property Calculator&apos;!$B$72=1,B103&gt;&apos;Property Calculator&apos;!$B$69),MIN(D103*C103/12+&apos;Property Calculator&apos;!$B$74/12,D103*(1+C103/12)),MIN(&apos;Property Calculator&apos;!$B$67,D103*(1+C103/12))))</f><v>1429.9603560928113</v></c><c r="F103" s="72"><f>IF(OR(A103&gt;&apos;Property Calculator&apos;!$B$70*12,D103&lt;=0),0,D103*C103/12)</f><v>761.3108590092196</v></c><c r="G103" s="72"><f>IF(OR(A103&gt;&apos;Property Calculator&apos;!$B$70*12,D103&lt;=0),0,MAX(0,MIN(D103,E103-F103)))</f><v>668.64949708359165</v></c><c r="H103" s="126"><v>0</v></c><c r="I103" s="72"><f>IF(A103&gt;&apos;Property Calculator&apos;!$B$70*12,0,MAX(0,D103-G103-J103))</f><v>260352.21644893452</v></c><c r="J103" s="72"><f>IF(OR(A103&gt;&apos;Property Calculator&apos;!$B$70*12,D103&lt;=0),0,MIN(H103,MAX(0,D103-G103)))</f><v>0</v></c></row><row r="104" spans="1:10" x14ac:dyDescent="0.25"><c r="A104"><v>101</v></c><c r="B104"><f t="shared" si="1"/>&lt;v&gt;9&lt;/v&gt;&lt;/c&gt;&lt;c r=&quot;C104&quot; s=&quot;37&quot;&gt;&lt;f&gt;IF(A104&gt;&apos;Property Calculator&apos;!$B$70*12,0,IF(AND(&apos;Property Calculator&apos;!$B$72=1,B104&gt;&apos;Property Calculator&apos;!$B$69),&apos;Property Calculator&apos;!$B$73,&apos;Property Calculator&apos;!$B$65))</f><v>3.5000000000000003E-2</v></c><c r="D104" s="72"><f>IF(A104&gt;&apos;Property Calculator&apos;!$B$70*12,0,I103)</f><v>260352.21644893452</v></c><c r="E104" s="72"><f>IF(OR(A104&gt;&apos;Property Calculator&apos;!$B$70*12,D104&lt;=0),0,IF(AND(&apos;Property Calculator&apos;!$B$72=1,B104&gt;&apos;Property Calculator&apos;!$B$69),MIN(D104*C104/12+&apos;Property Calculator&apos;!$B$74/12,D104*(1+C104/12)),MIN(&apos;Property Calculator&apos;!$B$67,D104*(1+C104/12))))</f><v>1429.9603560928113</v></c><c r="F104" s="72"><f>IF(OR(A104&gt;&apos;Property Calculator&apos;!$B$70*12,D104&lt;=0),0,D104*C104/12)</f><v>759.36063130939237</v></c><c r="G104" s="72"><f>IF(OR(A104&gt;&apos;Property Calculator&apos;!$B$70*12,D104&lt;=0),0,MAX(0,MIN(D104,E104-F104)))</f><v>670.59972478341888</v></c><c r="H104" s="126"><v>0</v></c><c r="I104" s="72"><f>IF(A104&gt;&apos;Property Calculator&apos;!$B$70*12,0,MAX(0,D104-G104-J104))</f><v>259681.6167241511</v></c><c r="J104" s="72"><f>IF(OR(A104&gt;&apos;Property Calculator&apos;!$B$70*12,D104&lt;=0),0,MIN(H104,MAX(0,D104-G104)))</f><v>0</v></c></row><row r="105" spans="1:10" x14ac:dyDescent="0.25"><c r="A105"><v>102</v></c><c r="B105"><f t="shared" si="1"/>&lt;v&gt;9&lt;/v&gt;&lt;/c&gt;&lt;c r=&quot;C105&quot; s=&quot;37&quot;&gt;&lt;f&gt;IF(A105&gt;&apos;Property Calculator&apos;!$B$70*12,0,IF(AND(&apos;Property Calculator&apos;!$B$72=1,B105&gt;&apos;Property Calculator&apos;!$B$69),&apos;Property Calculator&apos;!$B$73,&apos;Property Calculator&apos;!$B$65))</f><v>3.5000000000000003E-2</v></c><c r="D105" s="72"><f>IF(A105&gt;&apos;Property Calculator&apos;!$B$70*12,0,I104)</f><v>259681.6167241511</v></c><c r="E105" s="72"><f>IF(OR(A105&gt;&apos;Property Calculator&apos;!$B$70*12,D105&lt;=0),0,IF(AND(&apos;Property Calculator&apos;!$B$72=1,B105&gt;&apos;Property Calculator&apos;!$B$69),MIN(D105*C105/12+&apos;Property Calculator&apos;!$B$74/12,D105*(1+C105/12)),MIN(&apos;Property Calculator&apos;!$B$67,D105*(1+C105/12))))</f><v>1429.9603560928113</v></c><c r="F105" s="72"><f>IF(OR(A105&gt;&apos;Property Calculator&apos;!$B$70*12,D105&lt;=0),0,D105*C105/12)</f><v>757.40471544544073</v></c><c r="G105" s="72"><f>IF(OR(A105&gt;&apos;Property Calculator&apos;!$B$70*12,D105&lt;=0),0,MAX(0,MIN(D105,E105-F105)))</f><v>672.55564064737052</v></c><c r="H105" s="126"><v>0</v></c><c r="I105" s="72"><f>IF(A105&gt;&apos;Property Calculator&apos;!$B$70*12,0,MAX(0,D105-G105-J105))</f><v>259009.06108350374</v></c><c r="J105" s="72"><f>IF(OR(A105&gt;&apos;Property Calculator&apos;!$B$70*12,D105&lt;=0),0,MIN(H105,MAX(0,D105-G105)))</f><v>0</v></c></row><row r="106" spans="1:10" x14ac:dyDescent="0.25"><c r="A106"><v>103</v></c><c r="B106"><f t="shared" si="1"/>&lt;v&gt;9&lt;/v&gt;&lt;/c&gt;&lt;c r=&quot;C106&quot; s=&quot;37&quot;&gt;&lt;f&gt;IF(A106&gt;&apos;Property Calculator&apos;!$B$70*12,0,IF(AND(&apos;Property Calculator&apos;!$B$72=1,B106&gt;&apos;Property Calculator&apos;!$B$69),&apos;Property Calculator&apos;!$B$73,&apos;Property Calculator&apos;!$B$65))</f><v>3.5000000000000003E-2</v></c><c r="D106" s="72"><f>IF(A106&gt;&apos;Property Calculator&apos;!$B$70*12,0,I105)</f><v>259009.06108350374</v></c><c r="E106" s="72"><f>IF(OR(A106&gt;&apos;Property Calculator&apos;!$B$70*12,D106&lt;=0),0,IF(AND(&apos;Property Calculator&apos;!$B$72=1,B106&gt;&apos;Property Calculator&apos;!$B$69),MIN(D106*C106/12+&apos;Property Calculator&apos;!$B$74/12,D106*(1+C106/12)),MIN(&apos;Property Calculator&apos;!$B$67,D106*(1+C106/12))))</f><v>1429.9603560928113</v></c><c r="F106" s="72"><f>IF(OR(A106&gt;&apos;Property Calculator&apos;!$B$70*12,D106&lt;=0),0,D106*C106/12)</f><v>755.44309482688595</v></c><c r="G106" s="72"><f>IF(OR(A106&gt;&apos;Property Calculator&apos;!$B$70*12,D106&lt;=0),0,MAX(0,MIN(D106,E106-F106)))</f><v>674.5172612659253</v></c><c r="H106" s="126"><v>0</v></c><c r="I106" s="72"><f>IF(A106&gt;&apos;Property Calculator&apos;!$B$70*12,0,MAX(0,D106-G106-J106))</f><v>258334.54382223781</v></c><c r="J106" s="72"><f>IF(OR(A106&gt;&apos;Property Calculator&apos;!$B$70*12,D106&lt;=0),0,MIN(H106,MAX(0,D106-G106)))</f><v>0</v></c></row><row r="107" spans="1:10" x14ac:dyDescent="0.25"><c r="A107"><v>104</v></c><c r="B107"><f t="shared" si="1"/>&lt;v&gt;9&lt;/v&gt;&lt;/c&gt;&lt;c r=&quot;C107&quot; s=&quot;37&quot;&gt;&lt;f&gt;IF(A107&gt;&apos;Property Calculator&apos;!$B$70*12,0,IF(AND(&apos;Property Calculator&apos;!$B$72=1,B107&gt;&apos;Property Calculator&apos;!$B$69),&apos;Property Calculator&apos;!$B$73,&apos;Property Calculator&apos;!$B$65))</f><v>3.5000000000000003E-2</v></c><c r="D107" s="72"><f>IF(A107&gt;&apos;Property Calculator&apos;!$B$70*12,0,I106)</f><v>258334.54382223781</v></c><c r="E107" s="72"><f>IF(OR(A107&gt;&apos;Property Calculator&apos;!$B$70*12,D107&lt;=0),0,IF(AND(&apos;Property Calculator&apos;!$B$72=1,B107&gt;&apos;Property Calculator&apos;!$B$69),MIN(D107*C107/12+&apos;Property Calculator&apos;!$B$74/12,D107*(1+C107/12)),MIN(&apos;Property Calculator&apos;!$B$67,D107*(1+C107/12))))</f><v>1429.9603560928113</v></c><c r="F107" s="72"><f>IF(OR(A107&gt;&apos;Property Calculator&apos;!$B$70*12,D107&lt;=0),0,D107*C107/12)</f><v>753.47575281486036</v></c><c r="G107" s="72"><f>IF(OR(A107&gt;&apos;Property Calculator&apos;!$B$70*12,D107&lt;=0),0,MAX(0,MIN(D107,E107-F107)))</f><v>676.4846032779509</v></c><c r="H107" s="126"><v>0</v></c><c r="I107" s="72"><f>IF(A107&gt;&apos;Property Calculator&apos;!$B$70*12,0,MAX(0,D107-G107-J107))</f><v>257658.05921895985</v></c><c r="J107" s="72"><f>IF(OR(A107&gt;&apos;Property Calculator&apos;!$B$70*12,D107&lt;=0),0,MIN(H107,MAX(0,D107-G107)))</f><v>0</v></c></row><row r="108" spans="1:10" x14ac:dyDescent="0.25"><c r="A108"><v>105</v></c><c r="B108"><f t="shared" si="1"/>&lt;v&gt;9&lt;/v&gt;&lt;/c&gt;&lt;c r=&quot;C108&quot; s=&quot;37&quot;&gt;&lt;f&gt;IF(A108&gt;&apos;Property Calculator&apos;!$B$70*12,0,IF(AND(&apos;Property Calculator&apos;!$B$72=1,B108&gt;&apos;Property Calculator&apos;!$B$69),&apos;Property Calculator&apos;!$B$73,&apos;Property Calculator&apos;!$B$65))</f><v>3.5000000000000003E-2</v></c><c r="D108" s="72"><f>IF(A108&gt;&apos;Property Calculator&apos;!$B$70*12,0,I107)</f><v>257658.05921895985</v></c><c r="E108" s="72"><f>IF(OR(A108&gt;&apos;Property Calculator&apos;!$B$70*12,D108&lt;=0),0,IF(AND(&apos;Property Calculator&apos;!$B$72=1,B108&gt;&apos;Property Calculator&apos;!$B$69),MIN(D108*C108/12+&apos;Property Calculator&apos;!$B$74/12,D108*(1+C108/12)),MIN(&apos;Property Calculator&apos;!$B$67,D108*(1+C108/12))))</f><v>1429.9603560928113</v></c><c r="F108" s="72"><f>IF(OR(A108&gt;&apos;Property Calculator&apos;!$B$70*12,D108&lt;=0),0,D108*C108/12)</f><v>751.50267272196641</v></c><c r="G108" s="72"><f>IF(OR(A108&gt;&apos;Property Calculator&apos;!$B$70*12,D108&lt;=0),0,MAX(0,MIN(D108,E108-F108)))</f><v>678.45768337084485</v></c><c r="H108" s="126"><v>0</v></c><c r="I108" s="72"><f>IF(A108&gt;&apos;Property Calculator&apos;!$B$70*12,0,MAX(0,D108-G108-J108))</f><v>256979.601535589</v></c><c r="J108" s="72"><f>IF(OR(A108&gt;&apos;Property Calculator&apos;!$B$70*12,D108&lt;=0),0,MIN(H108,MAX(0,D108-G108)))</f><v>0</v></c></row><row r="109" spans="1:10" x14ac:dyDescent="0.25"><c r="A109"><v>106</v></c><c r="B109"><f t="shared" si="1"/>&lt;v&gt;9&lt;/v&gt;&lt;/c&gt;&lt;c r=&quot;C109&quot; s=&quot;37&quot;&gt;&lt;f&gt;IF(A109&gt;&apos;Property Calculator&apos;!$B$70*12,0,IF(AND(&apos;Property Calculator&apos;!$B$72=1,B109&gt;&apos;Property Calculator&apos;!$B$69),&apos;Property Calculator&apos;!$B$73,&apos;Property Calculator&apos;!$B$65))</f><v>3.5000000000000003E-2</v></c><c r="D109" s="72"><f>IF(A109&gt;&apos;Property Calculator&apos;!$B$70*12,0,I108)</f><v>256979.601535589</v></c><c r="E109" s="72"><f>IF(OR(A109&gt;&apos;Property Calculator&apos;!$B$70*12,D109&lt;=0),0,IF(AND(&apos;Property Calculator&apos;!$B$72=1,B109&gt;&apos;Property Calculator&apos;!$B$69),MIN(D109*C109/12+&apos;Property Calculator&apos;!$B$74/12,D109*(1+C109/12)),MIN(&apos;Property Calculator&apos;!$B$67,D109*(1+C109/12))))</f><v>1429.9603560928113</v></c><c r="F109" s="72"><f>IF(OR(A109&gt;&apos;Property Calculator&apos;!$B$70*12,D109&lt;=0),0,D109*C109/12)</f><v>749.52383781213473</v></c><c r="G109" s="72"><f>IF(OR(A109&gt;&apos;Property Calculator&apos;!$B$70*12,D109&lt;=0),0,MAX(0,MIN(D109,E109-F109)))</f><v>680.43651828067652</v></c><c r="H109" s="126"><v>0</v></c><c r="I109" s="72"><f>IF(A109&gt;&apos;Property Calculator&apos;!$B$70*12,0,MAX(0,D109-G109-J109))</f><v>256299.16501730832</v></c><c r="J109" s="72"><f>IF(OR(A109&gt;&apos;Property Calculator&apos;!$B$70*12,D109&lt;=0),0,MIN(H109,MAX(0,D109-G109)))</f><v>0</v></c></row><row r="110" spans="1:10" x14ac:dyDescent="0.25"><c r="A110"><v>107</v></c><c r="B110"><f t="shared" si="1"/>&lt;v&gt;9&lt;/v&gt;&lt;/c&gt;&lt;c r=&quot;C110&quot; s=&quot;37&quot;&gt;&lt;f&gt;IF(A110&gt;&apos;Property Calculator&apos;!$B$70*12,0,IF(AND(&apos;Property Calculator&apos;!$B$72=1,B110&gt;&apos;Property Calculator&apos;!$B$69),&apos;Property Calculator&apos;!$B$73,&apos;Property Calculator&apos;!$B$65))</f><v>3.5000000000000003E-2</v></c><c r="D110" s="72"><f>IF(A110&gt;&apos;Property Calculator&apos;!$B$70*12,0,I109)</f><v>256299.16501730832</v></c><c r="E110" s="72"><f>IF(OR(A110&gt;&apos;Property Calculator&apos;!$B$70*12,D110&lt;=0),0,IF(AND(&apos;Property Calculator&apos;!$B$72=1,B110&gt;&apos;Property Calculator&apos;!$B$69),MIN(D110*C110/12+&apos;Property Calculator&apos;!$B$74/12,D110*(1+C110/12)),MIN(&apos;Property Calculator&apos;!$B$67,D110*(1+C110/12))))</f><v>1429.9603560928113</v></c><c r="F110" s="72"><f>IF(OR(A110&gt;&apos;Property Calculator&apos;!$B$70*12,D110&lt;=0),0,D110*C110/12)</f><v>747.5392313004827</v></c><c r="G110" s="72"><f>IF(OR(A110&gt;&apos;Property Calculator&apos;!$B$70*12,D110&lt;=0),0,MAX(0,MIN(D110,E110-F110)))</f><v>682.42112479232856</v></c><c r="H110" s="126"><v>0</v></c><c r="I110" s="72"><f>IF(A110&gt;&apos;Property Calculator&apos;!$B$70*12,0,MAX(0,D110-G110-J110))</f><v>255616.74389251598</v></c><c r="J110" s="72"><f>IF(OR(A110&gt;&apos;Property Calculator&apos;!$B$70*12,D110&lt;=0),0,MIN(H110,MAX(0,D110-G110)))</f><v>0</v></c></row><row r="111" spans="1:10" x14ac:dyDescent="0.25"><c r="A111"><v>108</v></c><c r="B111"><f t="shared" si="1"/>&lt;v&gt;9&lt;/v&gt;&lt;/c&gt;&lt;c r=&quot;C111&quot; s=&quot;37&quot;&gt;&lt;f&gt;IF(A111&gt;&apos;Property Calculator&apos;!$B$70*12,0,IF(AND(&apos;Property Calculator&apos;!$B$72=1,B111&gt;&apos;Property Calculator&apos;!$B$69),&apos;Property Calculator&apos;!$B$73,&apos;Property Calculator&apos;!$B$65))</f><v>3.5000000000000003E-2</v></c><c r="D111" s="72"><f>IF(A111&gt;&apos;Property Calculator&apos;!$B$70*12,0,I110)</f><v>255616.74389251598</v></c><c r="E111" s="72"><f>IF(OR(A111&gt;&apos;Property Calculator&apos;!$B$70*12,D111&lt;=0),0,IF(AND(&apos;Property Calculator&apos;!$B$72=1,B111&gt;&apos;Property Calculator&apos;!$B$69),MIN(D111*C111/12+&apos;Property Calculator&apos;!$B$74/12,D111*(1+C111/12)),MIN(&apos;Property Calculator&apos;!$B$67,D111*(1+C111/12))))</f><v>1429.9603560928113</v></c><c r="F111" s="72"><f>IF(OR(A111&gt;&apos;Property Calculator&apos;!$B$70*12,D111&lt;=0),0,D111*C111/12)</f><v>745.54883635317174</v></c><c r="G111" s="72"><f>IF(OR(A111&gt;&apos;Property Calculator&apos;!$B$70*12,D111&lt;=0),0,MAX(0,MIN(D111,E111-F111)))</f><v>684.41151973963952</v></c><c r="H111" s="126"><v>0</v></c><c r="I111" s="72"><f>IF(A111&gt;&apos;Property Calculator&apos;!$B$70*12,0,MAX(0,D111-G111-J111))</f><v>254932.33237277635</v></c><c r="J111" s="72"><f>IF(OR(A111&gt;&apos;Property Calculator&apos;!$B$70*12,D111&lt;=0),0,MIN(H111,MAX(0,D111-G111)))</f><v>0</v></c></row><row r="112" spans="1:10" x14ac:dyDescent="0.25"><c r="A112"><v>109</v></c><c r="B112"><f t="shared" si="1"/>&lt;v&gt;10&lt;/v&gt;&lt;/c&gt;&lt;c r=&quot;C112&quot; s=&quot;37&quot;&gt;&lt;f&gt;IF(A112&gt;&apos;Property Calculator&apos;!$B$70*12,0,IF(AND(&apos;Property Calculator&apos;!$B$72=1,B112&gt;&apos;Property Calculator&apos;!$B$69),&apos;Property Calculator&apos;!$B$73,&apos;Property Calculator&apos;!$B$65))</f><v>3.5000000000000003E-2</v></c><c r="D112" s="72"><f>IF(A112&gt;&apos;Property Calculator&apos;!$B$70*12,0,I111)</f><v>254932.33237277635</v></c><c r="E112" s="72"><f>IF(OR(A112&gt;&apos;Property Calculator&apos;!$B$70*12,D112&lt;=0),0,IF(AND(&apos;Property Calculator&apos;!$B$72=1,B112&gt;&apos;Property Calculator&apos;!$B$69),MIN(D112*C112/12+&apos;Property Calculator&apos;!$B$74/12,D112*(1+C112/12)),MIN(&apos;Property Calculator&apos;!$B$67,D112*(1+C112/12))))</f><v>1429.9603560928113</v></c><c r="F112" s="72"><f>IF(OR(A112&gt;&apos;Property Calculator&apos;!$B$70*12,D112&lt;=0),0,D112*C112/12)</f><v>743.55263608726443</v></c><c r="G112" s="72"><f>IF(OR(A112&gt;&apos;Property Calculator&apos;!$B$70*12,D112&lt;=0),0,MAX(0,MIN(D112,E112-F112)))</f><v>686.40772000554682</v></c><c r="H112" s="126"><v>0</v></c><c r="I112" s="72"><f>IF(A112&gt;&apos;Property Calculator&apos;!$B$70*12,0,MAX(0,D112-G112-J112))</f><v>254245.9246527708</v></c><c r="J112" s="72"><f>IF(OR(A112&gt;&apos;Property Calculator&apos;!$B$70*12,D112&lt;=0),0,MIN(H112,MAX(0,D112-G112)))</f><v>0</v></c></row><row r="113" spans="1:10" x14ac:dyDescent="0.25"><c r="A113"><v>110</v></c><c r="B113"><f t="shared" si="1"/>&lt;v&gt;10&lt;/v&gt;&lt;/c&gt;&lt;c r=&quot;C113&quot; s=&quot;37&quot;&gt;&lt;f&gt;IF(A113&gt;&apos;Property Calculator&apos;!$B$70*12,0,IF(AND(&apos;Property Calculator&apos;!$B$72=1,B113&gt;&apos;Property Calculator&apos;!$B$69),&apos;Property Calculator&apos;!$B$73,&apos;Property Calculator&apos;!$B$65))</f><v>3.5000000000000003E-2</v></c><c r="D113" s="72"><f>IF(A113&gt;&apos;Property Calculator&apos;!$B$70*12,0,I112)</f><v>254245.9246527708</v></c><c r="E113" s="72"><f>IF(OR(A113&gt;&apos;Property Calculator&apos;!$B$70*12,D113&lt;=0),0,IF(AND(&apos;Property Calculator&apos;!$B$72=1,B113&gt;&apos;Property Calculator&apos;!$B$69),MIN(D113*C113/12+&apos;Property Calculator&apos;!$B$74/12,D113*(1+C113/12)),MIN(&apos;Property Calculator&apos;!$B$67,D113*(1+C113/12))))</f><v>1429.9603560928113</v></c><c r="F113" s="72"><f>IF(OR(A113&gt;&apos;Property Calculator&apos;!$B$70*12,D113&lt;=0),0,D113*C113/12)</f><v>741.5506135705815</v></c><c r="G113" s="72"><f>IF(OR(A113&gt;&apos;Property Calculator&apos;!$B$70*12,D113&lt;=0),0,MAX(0,MIN(D113,E113-F113)))</f><v>688.40974252222975</v></c><c r="H113" s="126"><v>0</v></c><c r="I113" s="72"><f>IF(A113&gt;&apos;Property Calculator&apos;!$B$70*12,0,MAX(0,D113-G113-J113))</f><v>253557.51491024857</v></c><c r="J113" s="72"><f>IF(OR(A113&gt;&apos;Property Calculator&apos;!$B$70*12,D113&lt;=0),0,MIN(H113,MAX(0,D113-G113)))</f><v>0</v></c></row><row r="114" spans="1:10" x14ac:dyDescent="0.25"><c r="A114"><v>111</v></c><c r="B114"><f t="shared" si="1"/>&lt;v&gt;10&lt;/v&gt;&lt;/c&gt;&lt;c r=&quot;C114&quot; s=&quot;37&quot;&gt;&lt;f&gt;IF(A114&gt;&apos;Property Calculator&apos;!$B$70*12,0,IF(AND(&apos;Property Calculator&apos;!$B$72=1,B114&gt;&apos;Property Calculator&apos;!$B$69),&apos;Property Calculator&apos;!$B$73,&apos;Property Calculator&apos;!$B$65))</f><v>3.5000000000000003E-2</v></c><c r="D114" s="72"><f>IF(A114&gt;&apos;Property Calculator&apos;!$B$70*12,0,I113)</f><v>253557.51491024857</v></c><c r="E114" s="72"><f>IF(OR(A114&gt;&apos;Property Calculator&apos;!$B$70*12,D114&lt;=0),0,IF(AND(&apos;Property Calculator&apos;!$B$72=1,B114&gt;&apos;Property Calculator&apos;!$B$69),MIN(D114*C114/12+&apos;Property Calculator&apos;!$B$74/12,D114*(1+C114/12)),MIN(&apos;Property Calculator&apos;!$B$67,D114*(1+C114/12))))</f><v>1429.9603560928113</v></c><c r="F114" s="72"><f>IF(OR(A114&gt;&apos;Property Calculator&apos;!$B$70*12,D114&lt;=0),0,D114*C114/12)</f><v>739.54275182155834</v></c><c r="G114" s="72"><f>IF(OR(A114&gt;&apos;Property Calculator&apos;!$B$70*12,D114&lt;=0),0,MAX(0,MIN(D114,E114-F114)))</f><v>690.41760427125291</v></c><c r="H114" s="126"><v>0</v></c><c r="I114" s="72"><f>IF(A114&gt;&apos;Property Calculator&apos;!$B$70*12,0,MAX(0,D114-G114-J114))</f><v>252867.09730597731</v></c><c r="J114" s="72"><f>IF(OR(A114&gt;&apos;Property Calculator&apos;!$B$70*12,D114&lt;=0),0,MIN(H114,MAX(0,D114-G114)))</f><v>0</v></c></row><row r="115" spans="1:10" x14ac:dyDescent="0.25"><c r="A115"><v>112</v></c><c r="B115"><f t="shared" si="1"/>&lt;v&gt;10&lt;/v&gt;&lt;/c&gt;&lt;c r=&quot;C115&quot; s=&quot;37&quot;&gt;&lt;f&gt;IF(A115&gt;&apos;Property Calculator&apos;!$B$70*12,0,IF(AND(&apos;Property Calculator&apos;!$B$72=1,B115&gt;&apos;Property Calculator&apos;!$B$69),&apos;Property Calculator&apos;!$B$73,&apos;Property Calculator&apos;!$B$65))</f><v>3.5000000000000003E-2</v></c><c r="D115" s="72"><f>IF(A115&gt;&apos;Property Calculator&apos;!$B$70*12,0,I114)</f><v>252867.09730597731</v></c><c r="E115" s="72"><f>IF(OR(A115&gt;&apos;Property Calculator&apos;!$B$70*12,D115&lt;=0),0,IF(AND(&apos;Property Calculator&apos;!$B$72=1,B115&gt;&apos;Property Calculator&apos;!$B$69),MIN(D115*C115/12+&apos;Property Calculator&apos;!$B$74/12,D115*(1+C115/12)),MIN(&apos;Property Calculator&apos;!$B$67,D115*(1+C115/12))))</f><v>1429.9603560928113</v></c><c r="F115" s="72"><f>IF(OR(A115&gt;&apos;Property Calculator&apos;!$B$70*12,D115&lt;=0),0,D115*C115/12)</f><v>737.5290338091005</v></c><c r="G115" s="72"><f>IF(OR(A115&gt;&apos;Property Calculator&apos;!$B$70*12,D115&lt;=0),0,MAX(0,MIN(D115,E115-F115)))</f><v>692.43132228371076</v></c><c r="H115" s="126"><v>0</v></c><c r="I115" s="72"><f>IF(A115&gt;&apos;Property Calculator&apos;!$B$70*12,0,MAX(0,D115-G115-J115))</f><v>252174.66598369359</v></c><c r="J115" s="72"><f>IF(OR(A115&gt;&apos;Property Calculator&apos;!$B$70*12,D115&lt;=0),0,MIN(H115,MAX(0,D115-G115)))</f><v>0</v></c></row><row r="116" spans="1:10" x14ac:dyDescent="0.25"><c r="A116"><v>113</v></c><c r="B116"><f t="shared" si="1"/>&lt;v&gt;10&lt;/v&gt;&lt;/c&gt;&lt;c r=&quot;C116&quot; s=&quot;37&quot;&gt;&lt;f&gt;IF(A116&gt;&apos;Property Calculator&apos;!$B$70*12,0,IF(AND(&apos;Property Calculator&apos;!$B$72=1,B116&gt;&apos;Property Calculator&apos;!$B$69),&apos;Property Calculator&apos;!$B$73,&apos;Property Calculator&apos;!$B$65))</f><v>3.5000000000000003E-2</v></c><c r="D116" s="72"><f>IF(A116&gt;&apos;Property Calculator&apos;!$B$70*12,0,I115)</f><v>252174.66598369359</v></c><c r="E116" s="72"><f>IF(OR(A116&gt;&apos;Property Calculator&apos;!$B$70*12,D116&lt;=0),0,IF(AND(&apos;Property Calculator&apos;!$B$72=1,B116&gt;&apos;Property Calculator&apos;!$B$69),MIN(D116*C116/12+&apos;Property Calculator&apos;!$B$74/12,D116*(1+C116/12)),MIN(&apos;Property Calculator&apos;!$B$67,D116*(1+C116/12))))</f><v>1429.9603560928113</v></c><c r="F116" s="72"><f>IF(OR(A116&gt;&apos;Property Calculator&apos;!$B$70*12,D116&lt;=0),0,D116*C116/12)</f><v>735.50944245243966</v></c><c r="G116" s="72"><f>IF(OR(A116&gt;&apos;Property Calculator&apos;!$B$70*12,D116&lt;=0),0,MAX(0,MIN(D116,E116-F116)))</f><v>694.4509136403716</v></c><c r="H116" s="126"><v>0</v></c><c r="I116" s="72"><f>IF(A116&gt;&apos;Property Calculator&apos;!$B$70*12,0,MAX(0,D116-G116-J116))</f><v>251480.21507005321</v></c><c r="J116" s="72"><f>IF(OR(A116&gt;&apos;Property Calculator&apos;!$B$70*12,D116&lt;=0),0,MIN(H116,MAX(0,D116-G116)))</f><v>0</v></c></row><row r="117" spans="1:10" x14ac:dyDescent="0.25"><c r="A117"><v>114</v></c><c r="B117"><f t="shared" si="1"/>&lt;v&gt;10&lt;/v&gt;&lt;/c&gt;&lt;c r=&quot;C117&quot; s=&quot;37&quot;&gt;&lt;f&gt;IF(A117&gt;&apos;Property Calculator&apos;!$B$70*12,0,IF(AND(&apos;Property Calculator&apos;!$B$72=1,B117&gt;&apos;Property Calculator&apos;!$B$69),&apos;Property Calculator&apos;!$B$73,&apos;Property Calculator&apos;!$B$65))</f><v>3.5000000000000003E-2</v></c><c r="D117" s="72"><f>IF(A117&gt;&apos;Property Calculator&apos;!$B$70*12,0,I116)</f><v>251480.21507005321</v></c><c r="E117" s="72"><f>IF(OR(A117&gt;&apos;Property Calculator&apos;!$B$70*12,D117&lt;=0),0,IF(AND(&apos;Property Calculator&apos;!$B$72=1,B117&gt;&apos;Property Calculator&apos;!$B$69),MIN(D117*C117/12+&apos;Property Calculator&apos;!$B$74/12,D117*(1+C117/12)),MIN(&apos;Property Calculator&apos;!$B$67,D117*(1+C117/12))))</f><v>1429.9603560928113</v></c><c r="F117" s="72"><f>IF(OR(A117&gt;&apos;Property Calculator&apos;!$B$70*12,D117&lt;=0),0,D117*C117/12)</f><v>733.48396062098857</v></c><c r="G117" s="72"><f>IF(OR(A117&gt;&apos;Property Calculator&apos;!$B$70*12,D117&lt;=0),0,MAX(0,MIN(D117,E117-F117)))</f><v>696.47639547182268</v></c><c r="H117" s="126"><v>0</v></c><c r="I117" s="72"><f>IF(A117&gt;&apos;Property Calculator&apos;!$B$70*12,0,MAX(0,D117-G117-J117))</f><v>250783.73867458137</v></c><c r="J117" s="72"><f>IF(OR(A117&gt;&apos;Property Calculator&apos;!$B$70*12,D117&lt;=0),0,MIN(H117,MAX(0,D117-G117)))</f><v>0</v></c></row><row r="118" spans="1:10" x14ac:dyDescent="0.25"><c r="A118"><v>115</v></c><c r="B118"><f t="shared" si="1"/>&lt;v&gt;10&lt;/v&gt;&lt;/c&gt;&lt;c r=&quot;C118&quot; s=&quot;37&quot;&gt;&lt;f&gt;IF(A118&gt;&apos;Property Calculator&apos;!$B$70*12,0,IF(AND(&apos;Property Calculator&apos;!$B$72=1,B118&gt;&apos;Property Calculator&apos;!$B$69),&apos;Property Calculator&apos;!$B$73,&apos;Property Calculator&apos;!$B$65))</f><v>3.5000000000000003E-2</v></c><c r="D118" s="72"><f>IF(A118&gt;&apos;Property Calculator&apos;!$B$70*12,0,I117)</f><v>250783.73867458137</v></c><c r="E118" s="72"><f>IF(OR(A118&gt;&apos;Property Calculator&apos;!$B$70*12,D118&lt;=0),0,IF(AND(&apos;Property Calculator&apos;!$B$72=1,B118&gt;&apos;Property Calculator&apos;!$B$69),MIN(D118*C118/12+&apos;Property Calculator&apos;!$B$74/12,D118*(1+C118/12)),MIN(&apos;Property Calculator&apos;!$B$67,D118*(1+C118/12))))</f><v>1429.9603560928113</v></c><c r="F118" s="72"><f>IF(OR(A118&gt;&apos;Property Calculator&apos;!$B$70*12,D118&lt;=0),0,D118*C118/12)</f><v>731.45257113419575</v></c><c r="G118" s="72"><f>IF(OR(A118&gt;&apos;Property Calculator&apos;!$B$70*12,D118&lt;=0),0,MAX(0,MIN(D118,E118-F118)))</f><v>698.5077849586155</v></c><c r="H118" s="126"><v>0</v></c><c r="I118" s="72"><f>IF(A118&gt;&apos;Property Calculator&apos;!$B$70*12,0,MAX(0,D118-G118-J118))</f><v>250085.23088962276</v></c><c r="J118" s="72"><f>IF(OR(A118&gt;&apos;Property Calculator&apos;!$B$70*12,D118&lt;=0),0,MIN(H118,MAX(0,D118-G118)))</f><v>0</v></c></row><row r="119" spans="1:10" x14ac:dyDescent="0.25"><c r="A119"><v>116</v></c><c r="B119"><f t="shared" si="1"/>&lt;v&gt;10&lt;/v&gt;&lt;/c&gt;&lt;c r=&quot;C119&quot; s=&quot;37&quot;&gt;&lt;f&gt;IF(A119&gt;&apos;Property Calculator&apos;!$B$70*12,0,IF(AND(&apos;Property Calculator&apos;!$B$72=1,B119&gt;&apos;Property Calculator&apos;!$B$69),&apos;Property Calculator&apos;!$B$73,&apos;Property Calculator&apos;!$B$65))</f><v>3.5000000000000003E-2</v></c><c r="D119" s="72"><f>IF(A119&gt;&apos;Property Calculator&apos;!$B$70*12,0,I118)</f><v>250085.23088962276</v></c><c r="E119" s="72"><f>IF(OR(A119&gt;&apos;Property Calculator&apos;!$B$70*12,D119&lt;=0),0,IF(AND(&apos;Property Calculator&apos;!$B$72=1,B119&gt;&apos;Property Calculator&apos;!$B$69),MIN(D119*C119/12+&apos;Property Calculator&apos;!$B$74/12,D119*(1+C119/12)),MIN(&apos;Property Calculator&apos;!$B$67,D119*(1+C119/12))))</f><v>1429.9603560928113</v></c><c r="F119" s="72"><f>IF(OR(A119&gt;&apos;Property Calculator&apos;!$B$70*12,D119&lt;=0),0,D119*C119/12)</f><v>729.41525676139975</v></c><c r="G119" s="72"><f>IF(OR(A119&gt;&apos;Property Calculator&apos;!$B$70*12,D119&lt;=0),0,MAX(0,MIN(D119,E119-F119)))</f><v>700.54509933141151</v></c><c r="H119" s="126"><v>0</v></c><c r="I119" s="72"><f>IF(A119&gt;&apos;Property Calculator&apos;!$B$70*12,0,MAX(0,D119-G119-J119))</f><v>249384.68579029135</v></c><c r="J119" s="72"><f>IF(OR(A119&gt;&apos;Property Calculator&apos;!$B$70*12,D119&lt;=0),0,MIN(H119,MAX(0,D119-G119)))</f><v>0</v></c></row><row r="120" spans="1:10" x14ac:dyDescent="0.25"><c r="A120"><v>117</v></c><c r="B120"><f t="shared" si="1"/>&lt;v&gt;10&lt;/v&gt;&lt;/c&gt;&lt;c r=&quot;C120&quot; s=&quot;37&quot;&gt;&lt;f&gt;IF(A120&gt;&apos;Property Calculator&apos;!$B$70*12,0,IF(AND(&apos;Property Calculator&apos;!$B$72=1,B120&gt;&apos;Property Calculator&apos;!$B$69),&apos;Property Calculator&apos;!$B$73,&apos;Property Calculator&apos;!$B$65))</f><v>3.5000000000000003E-2</v></c><c r="D120" s="72"><f>IF(A120&gt;&apos;Property Calculator&apos;!$B$70*12,0,I119)</f><v>249384.68579029135</v></c><c r="E120" s="72"><f>IF(OR(A120&gt;&apos;Property Calculator&apos;!$B$70*12,D120&lt;=0),0,IF(AND(&apos;Property Calculator&apos;!$B$72=1,B120&gt;&apos;Property Calculator&apos;!$B$69),MIN(D120*C120/12+&apos;Property Calculator&apos;!$B$74/12,D120*(1+C120/12)),MIN(&apos;Property Calculator&apos;!$B$67,D120*(1+C120/12))))</f><v>1429.9603560928113</v></c><c r="F120" s="72"><f>IF(OR(A120&gt;&apos;Property Calculator&apos;!$B$70*12,D120&lt;=0),0,D120*C120/12)</f><v>727.37200022168315</v></c><c r="G120" s="72"><f>IF(OR(A120&gt;&apos;Property Calculator&apos;!$B$70*12,D120&lt;=0),0,MAX(0,MIN(D120,E120-F120)))</f><v>702.5883558711281</v></c><c r="H120" s="126"><v>0</v></c><c r="I120" s="72"><f>IF(A120&gt;&apos;Property Calculator&apos;!$B$70*12,0,MAX(0,D120-G120-J120))</f><v>248682.09743442023</v></c><c r="J120" s="72"><f>IF(OR(A120&gt;&apos;Property Calculator&apos;!$B$70*12,D120&lt;=0),0,MIN(H120,MAX(0,D120-G120)))</f><v>0</v></c></row><row r="121" spans="1:10" x14ac:dyDescent="0.25"><c r="A121"><v>118</v></c><c r="B121"><f t="shared" si="1"/>&lt;v&gt;10&lt;/v&gt;&lt;/c&gt;&lt;c r=&quot;C121&quot; s=&quot;37&quot;&gt;&lt;f&gt;IF(A121&gt;&apos;Property Calculator&apos;!$B$70*12,0,IF(AND(&apos;Property Calculator&apos;!$B$72=1,B121&gt;&apos;Property Calculator&apos;!$B$69),&apos;Property Calculator&apos;!$B$73,&apos;Property Calculator&apos;!$B$65))</f><v>3.5000000000000003E-2</v></c><c r="D121" s="72"><f>IF(A121&gt;&apos;Property Calculator&apos;!$B$70*12,0,I120)</f><v>248682.09743442023</v></c><c r="E121" s="72"><f>IF(OR(A121&gt;&apos;Property Calculator&apos;!$B$70*12,D121&lt;=0),0,IF(AND(&apos;Property Calculator&apos;!$B$72=1,B121&gt;&apos;Property Calculator&apos;!$B$69),MIN(D121*C121/12+&apos;Property Calculator&apos;!$B$74/12,D121*(1+C121/12)),MIN(&apos;Property Calculator&apos;!$B$67,D121*(1+C121/12))))</f><v>1429.9603560928113</v></c><c r="F121" s="72"><f>IF(OR(A121&gt;&apos;Property Calculator&apos;!$B$70*12,D121&lt;=0),0,D121*C121/12)</f><v>725.32278418372573</v></c><c r="G121" s="72"><f>IF(OR(A121&gt;&apos;Property Calculator&apos;!$B$70*12,D121&lt;=0),0,MAX(0,MIN(D121,E121-F121)))</f><v>704.63757190908552</v></c><c r="H121" s="126"><v>0</v></c><c r="I121" s="72"><f>IF(A121&gt;&apos;Property Calculator&apos;!$B$70*12,0,MAX(0,D121-G121-J121))</f><v>247977.45986251114</v></c><c r="J121" s="72"><f>IF(OR(A121&gt;&apos;Property Calculator&apos;!$B$70*12,D121&lt;=0),0,MIN(H121,MAX(0,D121-G121)))</f><v>0</v></c></row><row r="122" spans="1:10" x14ac:dyDescent="0.25"><c r="A122"><v>119</v></c><c r="B122"><f t="shared" si="1"/>&lt;v&gt;10&lt;/v&gt;&lt;/c&gt;&lt;c r=&quot;C122&quot; s=&quot;37&quot;&gt;&lt;f&gt;IF(A122&gt;&apos;Property Calculator&apos;!$B$70*12,0,IF(AND(&apos;Property Calculator&apos;!$B$72=1,B122&gt;&apos;Property Calculator&apos;!$B$69),&apos;Property Calculator&apos;!$B$73,&apos;Property Calculator&apos;!$B$65))</f><v>3.5000000000000003E-2</v></c><c r="D122" s="72"><f>IF(A122&gt;&apos;Property Calculator&apos;!$B$70*12,0,I121)</f><v>247977.45986251114</v></c><c r="E122" s="72"><f>IF(OR(A122&gt;&apos;Property Calculator&apos;!$B$70*12,D122&lt;=0),0,IF(AND(&apos;Property Calculator&apos;!$B$72=1,B122&gt;&apos;Property Calculator&apos;!$B$69),MIN(D122*C122/12+&apos;Property Calculator&apos;!$B$74/12,D122*(1+C122/12)),MIN(&apos;Property Calculator&apos;!$B$67,D122*(1+C122/12))))</f><v>1429.9603560928113</v></c><c r="F122" s="72"><f>IF(OR(A122&gt;&apos;Property Calculator&apos;!$B$70*12,D122&lt;=0),0,D122*C122/12)</f><v>723.26759126565764</v></c><c r="G122" s="72"><f>IF(OR(A122&gt;&apos;Property Calculator&apos;!$B$70*12,D122&lt;=0),0,MAX(0,MIN(D122,E122-F122)))</f><v>706.69276482715361</v></c><c r="H122" s="126"><v>0</v></c><c r="I122" s="72"><f>IF(A122&gt;&apos;Property Calculator&apos;!$B$70*12,0,MAX(0,D122-G122-J122))</f><v>247270.76709768397</v></c><c r="J122" s="72"><f>IF(OR(A122&gt;&apos;Property Calculator&apos;!$B$70*12,D122&lt;=0),0,MIN(H122,MAX(0,D122-G122)))</f><v>0</v></c></row><row r="123" spans="1:10" x14ac:dyDescent="0.25"><c r="A123"><v>120</v></c><c r="B123"><f t="shared" si="1"/>&lt;v&gt;10&lt;/v&gt;&lt;/c&gt;&lt;c r=&quot;C123&quot; s=&quot;37&quot;&gt;&lt;f&gt;IF(A123&gt;&apos;Property Calculator&apos;!$B$70*12,0,IF(AND(&apos;Property Calculator&apos;!$B$72=1,B123&gt;&apos;Property Calculator&apos;!$B$69),&apos;Property Calculator&apos;!$B$73,&apos;Property Calculator&apos;!$B$65))</f><v>3.5000000000000003E-2</v></c><c r="D123" s="72"><f>IF(A123&gt;&apos;Property Calculator&apos;!$B$70*12,0,I122)</f><v>247270.76709768397</v></c><c r="E123" s="72"><f>IF(OR(A123&gt;&apos;Property Calculator&apos;!$B$70*12,D123&lt;=0),0,IF(AND(&apos;Property Calculator&apos;!$B$72=1,B123&gt;&apos;Property Calculator&apos;!$B$69),MIN(D123*C123/12+&apos;Property Calculator&apos;!$B$74/12,D123*(1+C123/12)),MIN(&apos;Property Calculator&apos;!$B$67,D123*(1+C123/12))))</f><v>1429.9603560928113</v></c><c r="F123" s="72"><f>IF(OR(A123&gt;&apos;Property Calculator&apos;!$B$70*12,D123&lt;=0),0,D123*C123/12)</f><v>721.20640403491154</v></c><c r="G123" s="72"><f>IF(OR(A123&gt;&apos;Property Calculator&apos;!$B$70*12,D123&lt;=0),0,MAX(0,MIN(D123,E123-F123)))</f><v>708.75395205789971</v></c><c r="H123" s="126"><v>0</v></c><c r="I123" s="72"><f>IF(A123&gt;&apos;Property Calculator&apos;!$B$70*12,0,MAX(0,D123-G123-J123))</f><v>246562.01314562609</v></c><c r="J123" s="72"><f>IF(OR(A123&gt;&apos;Property Calculator&apos;!$B$70*12,D123&lt;=0),0,MIN(H123,MAX(0,D123-G123)))</f><v>0</v></c></row><row r="124" spans="1:10" x14ac:dyDescent="0.25"><c r="A124"><v>121</v></c><c r="B124"><f t="shared" si="1"/>&lt;v&gt;11&lt;/v&gt;&lt;/c&gt;&lt;c r=&quot;C124&quot; s=&quot;37&quot;&gt;&lt;f&gt;IF(A124&gt;&apos;Property Calculator&apos;!$B$70*12,0,IF(AND(&apos;Property Calculator&apos;!$B$72=1,B124&gt;&apos;Property Calculator&apos;!$B$69),&apos;Property Calculator&apos;!$B$73,&apos;Property Calculator&apos;!$B$65))</f><v>3.5000000000000003E-2</v></c><c r="D124" s="72"><f>IF(A124&gt;&apos;Property Calculator&apos;!$B$70*12,0,I123)</f><v>246562.01314562609</v></c><c r="E124" s="72"><f>IF(OR(A124&gt;&apos;Property Calculator&apos;!$B$70*12,D124&lt;=0),0,IF(AND(&apos;Property Calculator&apos;!$B$72=1,B124&gt;&apos;Property Calculator&apos;!$B$69),MIN(D124*C124/12+&apos;Property Calculator&apos;!$B$74/12,D124*(1+C124/12)),MIN(&apos;Property Calculator&apos;!$B$67,D124*(1+C124/12))))</f><v>1429.9603560928113</v></c><c r="F124" s="72"><f>IF(OR(A124&gt;&apos;Property Calculator&apos;!$B$70*12,D124&lt;=0),0,D124*C124/12)</f><v>719.13920500807615</v></c><c r="G124" s="72"><f>IF(OR(A124&gt;&apos;Property Calculator&apos;!$B$70*12,D124&lt;=0),0,MAX(0,MIN(D124,E124-F124)))</f><v>710.82115108473511</v></c><c r="H124" s="126"><v>0</v></c><c r="I124" s="72"><f>IF(A124&gt;&apos;Property Calculator&apos;!$B$70*12,0,MAX(0,D124-G124-J124))</f><v>245851.19199454135</v></c><c r="J124" s="72"><f>IF(OR(A124&gt;&apos;Property Calculator&apos;!$B$70*12,D124&lt;=0),0,MIN(H124,MAX(0,D124-G124)))</f><v>0</v></c></row><row r="125" spans="1:10" x14ac:dyDescent="0.25"><c r="A125"><v>122</v></c><c r="B125"><f t="shared" si="1"/>&lt;v&gt;11&lt;/v&gt;&lt;/c&gt;&lt;c r=&quot;C125&quot; s=&quot;37&quot;&gt;&lt;f&gt;IF(A125&gt;&apos;Property Calculator&apos;!$B$70*12,0,IF(AND(&apos;Property Calculator&apos;!$B$72=1,B125&gt;&apos;Property Calculator&apos;!$B$69),&apos;Property Calculator&apos;!$B$73,&apos;Property Calculator&apos;!$B$65))</f><v>3.5000000000000003E-2</v></c><c r="D125" s="72"><f>IF(A125&gt;&apos;Property Calculator&apos;!$B$70*12,0,I124)</f><v>245851.19199454135</v></c><c r="E125" s="72"><f>IF(OR(A125&gt;&apos;Property Calculator&apos;!$B$70*12,D125&lt;=0),0,IF(AND(&apos;Property Calculator&apos;!$B$72=1,B125&gt;&apos;Property Calculator&apos;!$B$69),MIN(D125*C125/12+&apos;Property Calculator&apos;!$B$74/12,D125*(1+C125/12)),MIN(&apos;Property Calculator&apos;!$B$67,D125*(1+C125/12))))</f><v>1429.9603560928113</v></c><c r="F125" s="72"><f>IF(OR(A125&gt;&apos;Property Calculator&apos;!$B$70*12,D125&lt;=0),0,D125*C125/12)</f><v>717.06597665074571</v></c><c r="G125" s="72"><f>IF(OR(A125&gt;&apos;Property Calculator&apos;!$B$70*12,D125&lt;=0),0,MAX(0,MIN(D125,E125-F125)))</f><v>712.89437944206554</v></c><c r="H125" s="126"><v>0</v></c><c r="I125" s="72"><f>IF(A125&gt;&apos;Property Calculator&apos;!$B$70*12,0,MAX(0,D125-G125-J125))</f><v>245138.29761509929</v></c><c r="J125" s="72"><f>IF(OR(A125&gt;&apos;Property Calculator&apos;!$B$70*12,D125&lt;=0),0,MIN(H125,MAX(0,D125-G125)))</f><v>0</v></c></row><row r="126" spans="1:10" x14ac:dyDescent="0.25"><c r="A126"><v>123</v></c><c r="B126"><f t="shared" si="1"/>&lt;v&gt;11&lt;/v&gt;&lt;/c&gt;&lt;c r=&quot;C126&quot; s=&quot;37&quot;&gt;&lt;f&gt;IF(A126&gt;&apos;Property Calculator&apos;!$B$70*12,0,IF(AND(&apos;Property Calculator&apos;!$B$72=1,B126&gt;&apos;Property Calculator&apos;!$B$69),&apos;Property Calculator&apos;!$B$73,&apos;Property Calculator&apos;!$B$65))</f><v>3.5000000000000003E-2</v></c><c r="D126" s="72"><f>IF(A126&gt;&apos;Property Calculator&apos;!$B$70*12,0,I125)</f><v>245138.29761509929</v></c><c r="E126" s="72"><f>IF(OR(A126&gt;&apos;Property Calculator&apos;!$B$70*12,D126&lt;=0),0,IF(AND(&apos;Property Calculator&apos;!$B$72=1,B126&gt;&apos;Property Calculator&apos;!$B$69),MIN(D126*C126/12+&apos;Property Calculator&apos;!$B$74/12,D126*(1+C126/12)),MIN(&apos;Property Calculator&apos;!$B$67,D126*(1+C126/12))))</f><v>1429.9603560928113</v></c><c r="F126" s="72"><f>IF(OR(A126&gt;&apos;Property Calculator&apos;!$B$70*12,D126&lt;=0),0,D126*C126/12)</f><v>714.98670137737292</v></c><c r="G126" s="72"><f>IF(OR(A126&gt;&apos;Property Calculator&apos;!$B$70*12,D126&lt;=0),0,MAX(0,MIN(D126,E126-F126)))</f><v>714.97365471543833</v></c><c r="H126" s="126"><v>0</v></c><c r="I126" s="72"><f>IF(A126&gt;&apos;Property Calculator&apos;!$B$70*12,0,MAX(0,D126-G126-J126))</f><v>244423.32396038386</v></c><c r="J126" s="72"><f>IF(OR(A126&gt;&apos;Property Calculator&apos;!$B$70*12,D126&lt;=0),0,MIN(H126,MAX(0,D126-G126)))</f><v>0</v></c></row><row r="127" spans="1:10" x14ac:dyDescent="0.25"><c r="A127"><v>124</v></c><c r="B127"><f t="shared" si="1"/>&lt;v&gt;11&lt;/v&gt;&lt;/c&gt;&lt;c r=&quot;C127&quot; s=&quot;37&quot;&gt;&lt;f&gt;IF(A127&gt;&apos;Property Calculator&apos;!$B$70*12,0,IF(AND(&apos;Property Calculator&apos;!$B$72=1,B127&gt;&apos;Property Calculator&apos;!$B$69),&apos;Property Calculator&apos;!$B$73,&apos;Property Calculator&apos;!$B$65))</f><v>3.5000000000000003E-2</v></c><c r="D127" s="72"><f>IF(A127&gt;&apos;Property Calculator&apos;!$B$70*12,0,I126)</f><v>244423.32396038386</v></c><c r="E127" s="72"><f>IF(OR(A127&gt;&apos;Property Calculator&apos;!$B$70*12,D127&lt;=0),0,IF(AND(&apos;Property Calculator&apos;!$B$72=1,B127&gt;&apos;Property Calculator&apos;!$B$69),MIN(D127*C127/12+&apos;Property Calculator&apos;!$B$74/12,D127*(1+C127/12)),MIN(&apos;Property Calculator&apos;!$B$67,D127*(1+C127/12))))</f><v>1429.9603560928113</v></c><c r="F127" s="72"><f>IF(OR(A127&gt;&apos;Property Calculator&apos;!$B$70*12,D127&lt;=0),0,D127*C127/12)</f><v>712.90136155111975</v></c><c r="G127" s="72"><f>IF(OR(A127&gt;&apos;Property Calculator&apos;!$B$70*12,D127&lt;=0),0,MAX(0,MIN(D127,E127-F127)))</f><v>717.0589945416915</v></c><c r="H127" s="126"><v>0</v></c><c r="I127" s="72"><f>IF(A127&gt;&apos;Property Calculator&apos;!$B$70*12,0,MAX(0,D127-G127-J127))</f><v>243706.26496584216</v></c><c r="J127" s="72"><f>IF(OR(A127&gt;&apos;Property Calculator&apos;!$B$70*12,D127&lt;=0),0,MIN(H127,MAX(0,D127-G127)))</f><v>0</v></c></row><row r="128" spans="1:10" x14ac:dyDescent="0.25"><c r="A128"><v>125</v></c><c r="B128"><f t="shared" si="1"/>&lt;v&gt;11&lt;/v&gt;&lt;/c&gt;&lt;c r=&quot;C128&quot; s=&quot;37&quot;&gt;&lt;f&gt;IF(A128&gt;&apos;Property Calculator&apos;!$B$70*12,0,IF(AND(&apos;Property Calculator&apos;!$B$72=1,B128&gt;&apos;Property Calculator&apos;!$B$69),&apos;Property Calculator&apos;!$B$73,&apos;Property Calculator&apos;!$B$65))</f><v>3.5000000000000003E-2</v></c><c r="D128" s="72"><f>IF(A128&gt;&apos;Property Calculator&apos;!$B$70*12,0,I127)</f><v>243706.26496584216</v></c><c r="E128" s="72"><f>IF(OR(A128&gt;&apos;Property Calculator&apos;!$B$70*12,D128&lt;=0),0,IF(AND(&apos;Property Calculator&apos;!$B$72=1,B128&gt;&apos;Property Calculator&apos;!$B$69),MIN(D128*C128/12+&apos;Property Calculator&apos;!$B$74/12,D128*(1+C128/12)),MIN(&apos;Property Calculator&apos;!$B$67,D128*(1+C128/12))))</f><v>1429.9603560928113</v></c><c r="F128" s="72"><f>IF(OR(A128&gt;&apos;Property Calculator&apos;!$B$70*12,D128&lt;=0),0,D128*C128/12)</f><v>710.80993948370633</v></c><c r="G128" s="72"><f>IF(OR(A128&gt;&apos;Property Calculator&apos;!$B$70*12,D128&lt;=0),0,MAX(0,MIN(D128,E128-F128)))</f><v>719.15041660910492</v></c><c r="H128" s="126"><v>0</v></c><c r="I128" s="72"><f>IF(A128&gt;&apos;Property Calculator&apos;!$B$70*12,0,MAX(0,D128-G128-J128))</f><v>242987.11454923305</v></c><c r="J128" s="72"><f>IF(OR(A128&gt;&apos;Property Calculator&apos;!$B$70*12,D128&lt;=0),0,MIN(H128,MAX(0,D128-G128)))</f><v>0</v></c></row><row r="129" spans="1:10" x14ac:dyDescent="0.25"><c r="A129"><v>126</v></c><c r="B129"><f t="shared" si="1"/>&lt;v&gt;11&lt;/v&gt;&lt;/c&gt;&lt;c r=&quot;C129&quot; s=&quot;37&quot;&gt;&lt;f&gt;IF(A129&gt;&apos;Property Calculator&apos;!$B$70*12,0,IF(AND(&apos;Property Calculator&apos;!$B$72=1,B129&gt;&apos;Property Calculator&apos;!$B$69),&apos;Property Calculator&apos;!$B$73,&apos;Property Calculator&apos;!$B$65))</f><v>3.5000000000000003E-2</v></c><c r="D129" s="72"><f>IF(A129&gt;&apos;Property Calculator&apos;!$B$70*12,0,I128)</f><v>242987.11454923305</v></c><c r="E129" s="72"><f>IF(OR(A129&gt;&apos;Property Calculator&apos;!$B$70*12,D129&lt;=0),0,IF(AND(&apos;Property Calculator&apos;!$B$72=1,B129&gt;&apos;Property Calculator&apos;!$B$69),MIN(D129*C129/12+&apos;Property Calculator&apos;!$B$74/12,D129*(1+C129/12)),MIN(&apos;Property Calculator&apos;!$B$67,D129*(1+C129/12))))</f><v>1429.9603560928113</v></c><c r="F129" s="72"><f>IF(OR(A129&gt;&apos;Property Calculator&apos;!$B$70*12,D129&lt;=0),0,D129*C129/12)</f><v>708.71241743526309</v></c><c r="G129" s="72"><f>IF(OR(A129&gt;&apos;Property Calculator&apos;!$B$70*12,D129&lt;=0),0,MAX(0,MIN(D129,E129-F129)))</f><v>721.24793865754816</v></c><c r="H129" s="126"><v>0</v></c><c r="I129" s="72"><f>IF(A129&gt;&apos;Property Calculator&apos;!$B$70*12,0,MAX(0,D129-G129-J129))</f><v>242265.8666105755</v></c><c r="J129" s="72"><f>IF(OR(A129&gt;&apos;Property Calculator&apos;!$B$70*12,D129&lt;=0),0,MIN(H129,MAX(0,D129-G129)))</f><v>0</v></c></row><row r="130" spans="1:10" x14ac:dyDescent="0.25"><c r="A130"><v>127</v></c><c r="B130"><f t="shared" si="1"/>&lt;v&gt;11&lt;/v&gt;&lt;/c&gt;&lt;c r=&quot;C130&quot; s=&quot;37&quot;&gt;&lt;f&gt;IF(A130&gt;&apos;Property Calculator&apos;!$B$70*12,0,IF(AND(&apos;Property Calculator&apos;!$B$72=1,B130&gt;&apos;Property Calculator&apos;!$B$69),&apos;Property Calculator&apos;!$B$73,&apos;Property Calculator&apos;!$B$65))</f><v>3.5000000000000003E-2</v></c><c r="D130" s="72"><f>IF(A130&gt;&apos;Property Calculator&apos;!$B$70*12,0,I129)</f><v>242265.8666105755</v></c><c r="E130" s="72"><f>IF(OR(A130&gt;&apos;Property Calculator&apos;!$B$70*12,D130&lt;=0),0,IF(AND(&apos;Property Calculator&apos;!$B$72=1,B130&gt;&apos;Property Calculator&apos;!$B$69),MIN(D130*C130/12+&apos;Property Calculator&apos;!$B$74/12,D130*(1+C130/12)),MIN(&apos;Property Calculator&apos;!$B$67,D130*(1+C130/12))))</f><v>1429.9603560928113</v></c><c r="F130" s="72"><f>IF(OR(A130&gt;&apos;Property Calculator&apos;!$B$70*12,D130&lt;=0),0,D130*C130/12)</f><v>706.60877761417862</v></c><c r="G130" s="72"><f>IF(OR(A130&gt;&apos;Property Calculator&apos;!$B$70*12,D130&lt;=0),0,MAX(0,MIN(D130,E130-F130)))</f><v>723.35157847863263</v></c><c r="H130" s="126"><v>0</v></c><c r="I130" s="72"><f>IF(A130&gt;&apos;Property Calculator&apos;!$B$70*12,0,MAX(0,D130-G130-J130))</f><v>241542.51503209685</v></c><c r="J130" s="72"><f>IF(OR(A130&gt;&apos;Property Calculator&apos;!$B$70*12,D130&lt;=0),0,MIN(H130,MAX(0,D130-G130)))</f><v>0</v></c></row><row r="131" spans="1:10" x14ac:dyDescent="0.25"><c r="A131"><v>128</v></c><c r="B131"><f t="shared" si="1"/>&lt;v&gt;11&lt;/v&gt;&lt;/c&gt;&lt;c r=&quot;C131&quot; s=&quot;37&quot;&gt;&lt;f&gt;IF(A131&gt;&apos;Property Calculator&apos;!$B$70*12,0,IF(AND(&apos;Property Calculator&apos;!$B$72=1,B131&gt;&apos;Property Calculator&apos;!$B$69),&apos;Property Calculator&apos;!$B$73,&apos;Property Calculator&apos;!$B$65))</f><v>3.5000000000000003E-2</v></c><c r="D131" s="72"><f>IF(A131&gt;&apos;Property Calculator&apos;!$B$70*12,0,I130)</f><v>241542.51503209685</v></c><c r="E131" s="72"><f>IF(OR(A131&gt;&apos;Property Calculator&apos;!$B$70*12,D131&lt;=0),0,IF(AND(&apos;Property Calculator&apos;!$B$72=1,B131&gt;&apos;Property Calculator&apos;!$B$69),MIN(D131*C131/12+&apos;Property Calculator&apos;!$B$74/12,D131*(1+C131/12)),MIN(&apos;Property Calculator&apos;!$B$67,D131*(1+C131/12))))</f><v>1429.9603560928113</v></c><c r="F131" s="72"><f>IF(OR(A131&gt;&apos;Property Calculator&apos;!$B$70*12,D131&lt;=0),0,D131*C131/12)</f><v>704.49900217694915</v></c><c r="G131" s="72"><f>IF(OR(A131&gt;&apos;Property Calculator&apos;!$B$70*12,D131&lt;=0),0,MAX(0,MIN(D131,E131-F131)))</f><v>725.46135391586211</v></c><c r="H131" s="126"><v>0</v></c><c r="I131" s="72"><f>IF(A131&gt;&apos;Property Calculator&apos;!$B$70*12,0,MAX(0,D131-G131-J131))</f><v>240817.05367818099</v></c><c r="J131" s="72"><f>IF(OR(A131&gt;&apos;Property Calculator&apos;!$B$70*12,D131&lt;=0),0,MIN(H131,MAX(0,D131-G131)))</f><v>0</v></c></row><row r="132" spans="1:10" x14ac:dyDescent="0.25"><c r="A132"><v>129</v></c><c r="B132"><f t="shared" ref="B132:B195" si="2">INT((A132-1)/12)+1</f><v>11</v></c><c r="C132" s="37"><f>IF(A132&gt;&apos;Property Calculator&apos;!$B$70*12,0,IF(AND(&apos;Property Calculator&apos;!$B$72=1,B132&gt;&apos;Property Calculator&apos;!$B$69),&apos;Property Calculator&apos;!$B$73,&apos;Property Calculator&apos;!$B$65))</f><v>3.5000000000000003E-2</v></c><c r="D132" s="72"><f>IF(A132&gt;&apos;Property Calculator&apos;!$B$70*12,0,I131)</f><v>240817.05367818099</v></c><c r="E132" s="72"><f>IF(OR(A132&gt;&apos;Property Calculator&apos;!$B$70*12,D132&lt;=0),0,IF(AND(&apos;Property Calculator&apos;!$B$72=1,B132&gt;&apos;Property Calculator&apos;!$B$69),MIN(D132*C132/12+&apos;Property Calculator&apos;!$B$74/12,D132*(1+C132/12)),MIN(&apos;Property Calculator&apos;!$B$67,D132*(1+C132/12))))</f><v>1429.9603560928113</v></c><c r="F132" s="72"><f>IF(OR(A132&gt;&apos;Property Calculator&apos;!$B$70*12,D132&lt;=0),0,D132*C132/12)</f><v>702.38307322802802</v></c><c r="G132" s="72"><f>IF(OR(A132&gt;&apos;Property Calculator&apos;!$B$70*12,D132&lt;=0),0,MAX(0,MIN(D132,E132-F132)))</f><v>727.57728286478323</v></c><c r="H132" s="126"><v>0</v></c><c r="I132" s="72"><f>IF(A132&gt;&apos;Property Calculator&apos;!$B$70*12,0,MAX(0,D132-G132-J132))</f><v>240089.47639531622</v></c><c r="J132" s="72"><f>IF(OR(A132&gt;&apos;Property Calculator&apos;!$B$70*12,D132&lt;=0),0,MIN(H132,MAX(0,D132-G132)))</f><v>0</v></c></row><row r="133" spans="1:10" x14ac:dyDescent="0.25"><c r="A133"><v>130</v></c><c r="B133"><f t="shared" si="2"/>&lt;v&gt;11&lt;/v&gt;&lt;/c&gt;&lt;c r=&quot;C133&quot; s=&quot;37&quot;&gt;&lt;f&gt;IF(A133&gt;&apos;Property Calculator&apos;!$B$70*12,0,IF(AND(&apos;Property Calculator&apos;!$B$72=1,B133&gt;&apos;Property Calculator&apos;!$B$69),&apos;Property Calculator&apos;!$B$73,&apos;Property Calculator&apos;!$B$65))</f><v>3.5000000000000003E-2</v></c><c r="D133" s="72"><f>IF(A133&gt;&apos;Property Calculator&apos;!$B$70*12,0,I132)</f><v>240089.47639531622</v></c><c r="E133" s="72"><f>IF(OR(A133&gt;&apos;Property Calculator&apos;!$B$70*12,D133&lt;=0),0,IF(AND(&apos;Property Calculator&apos;!$B$72=1,B133&gt;&apos;Property Calculator&apos;!$B$69),MIN(D133*C133/12+&apos;Property Calculator&apos;!$B$74/12,D133*(1+C133/12)),MIN(&apos;Property Calculator&apos;!$B$67,D133*(1+C133/12))))</f><v>1429.9603560928113</v></c><c r="F133" s="72"><f>IF(OR(A133&gt;&apos;Property Calculator&apos;!$B$70*12,D133&lt;=0),0,D133*C133/12)</f><v>700.26097281967247</v></c><c r="G133" s="72"><f>IF(OR(A133&gt;&apos;Property Calculator&apos;!$B$70*12,D133&lt;=0),0,MAX(0,MIN(D133,E133-F133)))</f><v>729.69938327313878</v></c><c r="H133" s="126"><v>0</v></c><c r="I133" s="72"><f>IF(A133&gt;&apos;Property Calculator&apos;!$B$70*12,0,MAX(0,D133-G133-J133))</f><v>239359.77701204308</v></c><c r="J133" s="72"><f>IF(OR(A133&gt;&apos;Property Calculator&apos;!$B$70*12,D133&lt;=0),0,MIN(H133,MAX(0,D133-G133)))</f><v>0</v></c></row><row r="134" spans="1:10" x14ac:dyDescent="0.25"><c r="A134"><v>131</v></c><c r="B134"><f t="shared" si="2"/>&lt;v&gt;11&lt;/v&gt;&lt;/c&gt;&lt;c r=&quot;C134&quot; s=&quot;37&quot;&gt;&lt;f&gt;IF(A134&gt;&apos;Property Calculator&apos;!$B$70*12,0,IF(AND(&apos;Property Calculator&apos;!$B$72=1,B134&gt;&apos;Property Calculator&apos;!$B$69),&apos;Property Calculator&apos;!$B$73,&apos;Property Calculator&apos;!$B$65))</f><v>3.5000000000000003E-2</v></c><c r="D134" s="72"><f>IF(A134&gt;&apos;Property Calculator&apos;!$B$70*12,0,I133)</f><v>239359.77701204308</v></c><c r="E134" s="72"><f>IF(OR(A134&gt;&apos;Property Calculator&apos;!$B$70*12,D134&lt;=0),0,IF(AND(&apos;Property Calculator&apos;!$B$72=1,B134&gt;&apos;Property Calculator&apos;!$B$69),MIN(D134*C134/12+&apos;Property Calculator&apos;!$B$74/12,D134*(1+C134/12)),MIN(&apos;Property Calculator&apos;!$B$67,D134*(1+C134/12))))</f><v>1429.9603560928113</v></c><c r="F134" s="72"><f>IF(OR(A134&gt;&apos;Property Calculator&apos;!$B$70*12,D134&lt;=0),0,D134*C134/12)</f><v>698.13268295179239</v></c><c r="G134" s="72"><f>IF(OR(A134&gt;&apos;Property Calculator&apos;!$B$70*12,D134&lt;=0),0,MAX(0,MIN(D134,E134-F134)))</f><v>731.82767314101886</v></c><c r="H134" s="126"><v>0</v></c><c r="I134" s="72"><f>IF(A134&gt;&apos;Property Calculator&apos;!$B$70*12,0,MAX(0,D134-G134-J134))</f><v>238627.94933890205</v></c><c r="J134" s="72"><f>IF(OR(A134&gt;&apos;Property Calculator&apos;!$B$70*12,D134&lt;=0),0,MIN(H134,MAX(0,D134-G134)))</f><v>0</v></c></row><row r="135" spans="1:10" x14ac:dyDescent="0.25"><c r="A135"><v>132</v></c><c r="B135"><f t="shared" si="2"/>&lt;v&gt;11&lt;/v&gt;&lt;/c&gt;&lt;c r=&quot;C135&quot; s=&quot;37&quot;&gt;&lt;f&gt;IF(A135&gt;&apos;Property Calculator&apos;!$B$70*12,0,IF(AND(&apos;Property Calculator&apos;!$B$72=1,B135&gt;&apos;Property Calculator&apos;!$B$69),&apos;Property Calculator&apos;!$B$73,&apos;Property Calculator&apos;!$B$65))</f><v>3.5000000000000003E-2</v></c><c r="D135" s="72"><f>IF(A135&gt;&apos;Property Calculator&apos;!$B$70*12,0,I134)</f><v>238627.94933890205</v></c><c r="E135" s="72"><f>IF(OR(A135&gt;&apos;Property Calculator&apos;!$B$70*12,D135&lt;=0),0,IF(AND(&apos;Property Calculator&apos;!$B$72=1,B135&gt;&apos;Property Calculator&apos;!$B$69),MIN(D135*C135/12+&apos;Property Calculator&apos;!$B$74/12,D135*(1+C135/12)),MIN(&apos;Property Calculator&apos;!$B$67,D135*(1+C135/12))))</f><v>1429.9603560928113</v></c><c r="F135" s="72"><f>IF(OR(A135&gt;&apos;Property Calculator&apos;!$B$70*12,D135&lt;=0),0,D135*C135/12)</f><v>695.99818557179776</v></c><c r="G135" s="72"><f>IF(OR(A135&gt;&apos;Property Calculator&apos;!$B$70*12,D135&lt;=0),0,MAX(0,MIN(D135,E135-F135)))</f><v>733.96217052101349</v></c><c r="H135" s="126"><v>0</v></c><c r="I135" s="72"><f>IF(A135&gt;&apos;Property Calculator&apos;!$B$70*12,0,MAX(0,D135-G135-J135))</f><v>237893.98716838105</v></c><c r="J135" s="72"><f>IF(OR(A135&gt;&apos;Property Calculator&apos;!$B$70*12,D135&lt;=0),0,MIN(H135,MAX(0,D135-G135)))</f><v>0</v></c></row><row r="136" spans="1:10" x14ac:dyDescent="0.25"><c r="A136"><v>133</v></c><c r="B136"><f t="shared" si="2"/>&lt;v&gt;12&lt;/v&gt;&lt;/c&gt;&lt;c r=&quot;C136&quot; s=&quot;37&quot;&gt;&lt;f&gt;IF(A136&gt;&apos;Property Calculator&apos;!$B$70*12,0,IF(AND(&apos;Property Calculator&apos;!$B$72=1,B136&gt;&apos;Property Calculator&apos;!$B$69),&apos;Property Calculator&apos;!$B$73,&apos;Property Calculator&apos;!$B$65))</f><v>3.5000000000000003E-2</v></c><c r="D136" s="72"><f>IF(A136&gt;&apos;Property Calculator&apos;!$B$70*12,0,I135)</f><v>237893.98716838105</v></c><c r="E136" s="72"><f>IF(OR(A136&gt;&apos;Property Calculator&apos;!$B$70*12,D136&lt;=0),0,IF(AND(&apos;Property Calculator&apos;!$B$72=1,B136&gt;&apos;Property Calculator&apos;!$B$69),MIN(D136*C136/12+&apos;Property Calculator&apos;!$B$74/12,D136*(1+C136/12)),MIN(&apos;Property Calculator&apos;!$B$67,D136*(1+C136/12))))</f><v>1429.9603560928113</v></c><c r="F136" s="72"><f>IF(OR(A136&gt;&apos;Property Calculator&apos;!$B$70*12,D136&lt;=0),0,D136*C136/12)</f><v>693.85746257444487</v></c><c r="G136" s="72"><f>IF(OR(A136&gt;&apos;Property Calculator&apos;!$B$70*12,D136&lt;=0),0,MAX(0,MIN(D136,E136-F136)))</f><v>736.10289351836639</v></c><c r="H136" s="126"><v>0</v></c><c r="I136" s="72"><f>IF(A136&gt;&apos;Property Calculator&apos;!$B$70*12,0,MAX(0,D136-G136-J136))</f><v>237157.88427486268</v></c><c r="J136" s="72"><f>IF(OR(A136&gt;&apos;Property Calculator&apos;!$B$70*12,D136&lt;=0),0,MIN(H136,MAX(0,D136-G136)))</f><v>0</v></c></row><row r="137" spans="1:10" x14ac:dyDescent="0.25"><c r="A137"><v>134</v></c><c r="B137"><f t="shared" si="2"/>&lt;v&gt;12&lt;/v&gt;&lt;/c&gt;&lt;c r=&quot;C137&quot; s=&quot;37&quot;&gt;&lt;f&gt;IF(A137&gt;&apos;Property Calculator&apos;!$B$70*12,0,IF(AND(&apos;Property Calculator&apos;!$B$72=1,B137&gt;&apos;Property Calculator&apos;!$B$69),&apos;Property Calculator&apos;!$B$73,&apos;Property Calculator&apos;!$B$65))</f><v>3.5000000000000003E-2</v></c><c r="D137" s="72"><f>IF(A137&gt;&apos;Property Calculator&apos;!$B$70*12,0,I136)</f><v>237157.88427486268</v></c><c r="E137" s="72"><f>IF(OR(A137&gt;&apos;Property Calculator&apos;!$B$70*12,D137&lt;=0),0,IF(AND(&apos;Property Calculator&apos;!$B$72=1,B137&gt;&apos;Property Calculator&apos;!$B$69),MIN(D137*C137/12+&apos;Property Calculator&apos;!$B$74/12,D137*(1+C137/12)),MIN(&apos;Property Calculator&apos;!$B$67,D137*(1+C137/12))))</f><v>1429.9603560928113</v></c><c r="F137" s="72"><f>IF(OR(A137&gt;&apos;Property Calculator&apos;!$B$70*12,D137&lt;=0),0,D137*C137/12)</f><v>691.7104958016829</v></c><c r="G137" s="72"><f>IF(OR(A137&gt;&apos;Property Calculator&apos;!$B$70*12,D137&lt;=0),0,MAX(0,MIN(D137,E137-F137)))</f><v>738.24986029112836</v></c><c r="H137" s="126"><v>0</v></c><c r="I137" s="72"><f>IF(A137&gt;&apos;Property Calculator&apos;!$B$70*12,0,MAX(0,D137-G137-J137))</f><v>236419.63441457154</v></c><c r="J137" s="72"><f>IF(OR(A137&gt;&apos;Property Calculator&apos;!$B$70*12,D137&lt;=0),0,MIN(H137,MAX(0,D137-G137)))</f><v>0</v></c></row><row r="138" spans="1:10" x14ac:dyDescent="0.25"><c r="A138"><v>135</v></c><c r="B138"><f t="shared" si="2"/>&lt;v&gt;12&lt;/v&gt;&lt;/c&gt;&lt;c r=&quot;C138&quot; s=&quot;37&quot;&gt;&lt;f&gt;IF(A138&gt;&apos;Property Calculator&apos;!$B$70*12,0,IF(AND(&apos;Property Calculator&apos;!$B$72=1,B138&gt;&apos;Property Calculator&apos;!$B$69),&apos;Property Calculator&apos;!$B$73,&apos;Property Calculator&apos;!$B$65))</f><v>3.5000000000000003E-2</v></c><c r="D138" s="72"><f>IF(A138&gt;&apos;Property Calculator&apos;!$B$70*12,0,I137)</f><v>236419.63441457154</v></c><c r="E138" s="72"><f>IF(OR(A138&gt;&apos;Property Calculator&apos;!$B$70*12,D138&lt;=0),0,IF(AND(&apos;Property Calculator&apos;!$B$72=1,B138&gt;&apos;Property Calculator&apos;!$B$69),MIN(D138*C138/12+&apos;Property Calculator&apos;!$B$74/12,D138*(1+C138/12)),MIN(&apos;Property Calculator&apos;!$B$67,D138*(1+C138/12))))</f><v>1429.9603560928113</v></c><c r="F138" s="72"><f>IF(OR(A138&gt;&apos;Property Calculator&apos;!$B$70*12,D138&lt;=0),0,D138*C138/12)</f><v>689.55726704250037</v></c><c r="G138" s="72"><f>IF(OR(A138&gt;&apos;Property Calculator&apos;!$B$70*12,D138&lt;=0),0,MAX(0,MIN(D138,E138-F138)))</f><v>740.40308905031088</v></c><c r="H138" s="126"><v>0</v></c><c r="I138" s="72"><f>IF(A138&gt;&apos;Property Calculator&apos;!$B$70*12,0,MAX(0,D138-G138-J138))</f><v>235679.23132552122</v></c><c r="J138" s="72"><f>IF(OR(A138&gt;&apos;Property Calculator&apos;!$B$70*12,D138&lt;=0),0,MIN(H138,MAX(0,D138-G138)))</f><v>0</v></c></row><row r="139" spans="1:10" x14ac:dyDescent="0.25"><c r="A139"><v>136</v></c><c r="B139"><f t="shared" si="2"/>&lt;v&gt;12&lt;/v&gt;&lt;/c&gt;&lt;c r=&quot;C139&quot; s=&quot;37&quot;&gt;&lt;f&gt;IF(A139&gt;&apos;Property Calculator&apos;!$B$70*12,0,IF(AND(&apos;Property Calculator&apos;!$B$72=1,B139&gt;&apos;Property Calculator&apos;!$B$69),&apos;Property Calculator&apos;!$B$73,&apos;Property Calculator&apos;!$B$65))</f><v>3.5000000000000003E-2</v></c><c r="D139" s="72"><f>IF(A139&gt;&apos;Property Calculator&apos;!$B$70*12,0,I138)</f><v>235679.23132552122</v></c><c r="E139" s="72"><f>IF(OR(A139&gt;&apos;Property Calculator&apos;!$B$70*12,D139&lt;=0),0,IF(AND(&apos;Property Calculator&apos;!$B$72=1,B139&gt;&apos;Property Calculator&apos;!$B$69),MIN(D139*C139/12+&apos;Property Calculator&apos;!$B$74/12,D139*(1+C139/12)),MIN(&apos;Property Calculator&apos;!$B$67,D139*(1+C139/12))))</f><v>1429.9603560928113</v></c><c r="F139" s="72"><f>IF(OR(A139&gt;&apos;Property Calculator&apos;!$B$70*12,D139&lt;=0),0,D139*C139/12)</f><v>687.39775803277018</v></c><c r="G139" s="72"><f>IF(OR(A139&gt;&apos;Property Calculator&apos;!$B$70*12,D139&lt;=0),0,MAX(0,MIN(D139,E139-F139)))</f><v>742.56259806004107</v></c><c r="H139" s="126"><v>0</v></c><c r="I139" s="72"><f>IF(A139&gt;&apos;Property Calculator&apos;!$B$70*12,0,MAX(0,D139-G139-J139))</f><v>234936.66872746119</v></c><c r="J139" s="72"><f>IF(OR(A139&gt;&apos;Property Calculator&apos;!$B$70*12,D139&lt;=0),0,MIN(H139,MAX(0,D139-G139)))</f><v>0</v></c></row><row r="140" spans="1:10" x14ac:dyDescent="0.25"><c r="A140"><v>137</v></c><c r="B140"><f t="shared" si="2"/>&lt;v&gt;12&lt;/v&gt;&lt;/c&gt;&lt;c r=&quot;C140&quot; s=&quot;37&quot;&gt;&lt;f&gt;IF(A140&gt;&apos;Property Calculator&apos;!$B$70*12,0,IF(AND(&apos;Property Calculator&apos;!$B$72=1,B140&gt;&apos;Property Calculator&apos;!$B$69),&apos;Property Calculator&apos;!$B$73,&apos;Property Calculator&apos;!$B$65))</f><v>3.5000000000000003E-2</v></c><c r="D140" s="72"><f>IF(A140&gt;&apos;Property Calculator&apos;!$B$70*12,0,I139)</f><v>234936.66872746119</v></c><c r="E140" s="72"><f>IF(OR(A140&gt;&apos;Property Calculator&apos;!$B$70*12,D140&lt;=0),0,IF(AND(&apos;Property Calculator&apos;!$B$72=1,B140&gt;&apos;Property Calculator&apos;!$B$69),MIN(D140*C140/12+&apos;Property Calculator&apos;!$B$74/12,D140*(1+C140/12)),MIN(&apos;Property Calculator&apos;!$B$67,D140*(1+C140/12))))</f><v>1429.9603560928113</v></c><c r="F140" s="72"><f>IF(OR(A140&gt;&apos;Property Calculator&apos;!$B$70*12,D140&lt;=0),0,D140*C140/12)</f><v>685.23195045509522</v></c><c r="G140" s="72"><f>IF(OR(A140&gt;&apos;Property Calculator&apos;!$B$70*12,D140&lt;=0),0,MAX(0,MIN(D140,E140-F140)))</f><v>744.72840563771604</v></c><c r="H140" s="126"><v>0</v></c><c r="I140" s="72"><f>IF(A140&gt;&apos;Property Calculator&apos;!$B$70*12,0,MAX(0,D140-G140-J140))</f><v>234191.94032182347</v></c><c r="J140" s="72"><f>IF(OR(A140&gt;&apos;Property Calculator&apos;!$B$70*12,D140&lt;=0),0,MIN(H140,MAX(0,D140-G140)))</f><v>0</v></c></row><row r="141" spans="1:10" x14ac:dyDescent="0.25"><c r="A141"><v>138</v></c><c r="B141"><f t="shared" si="2"/>&lt;v&gt;12&lt;/v&gt;&lt;/c&gt;&lt;c r=&quot;C141&quot; s=&quot;37&quot;&gt;&lt;f&gt;IF(A141&gt;&apos;Property Calculator&apos;!$B$70*12,0,IF(AND(&apos;Property Calculator&apos;!$B$72=1,B141&gt;&apos;Property Calculator&apos;!$B$69),&apos;Property Calculator&apos;!$B$73,&apos;Property Calculator&apos;!$B$65))</f><v>3.5000000000000003E-2</v></c><c r="D141" s="72"><f>IF(A141&gt;&apos;Property Calculator&apos;!$B$70*12,0,I140)</f><v>234191.94032182347</v></c><c r="E141" s="72"><f>IF(OR(A141&gt;&apos;Property Calculator&apos;!$B$70*12,D141&lt;=0),0,IF(AND(&apos;Property Calculator&apos;!$B$72=1,B141&gt;&apos;Property Calculator&apos;!$B$69),MIN(D141*C141/12+&apos;Property Calculator&apos;!$B$74/12,D141*(1+C141/12)),MIN(&apos;Property Calculator&apos;!$B$67,D141*(1+C141/12))))</f><v>1429.9603560928113</v></c><c r="F141" s="72"><f>IF(OR(A141&gt;&apos;Property Calculator&apos;!$B$70*12,D141&lt;=0),0,D141*C141/12)</f><v>683.0598259386519</v></c><c r="G141" s="72"><f>IF(OR(A141&gt;&apos;Property Calculator&apos;!$B$70*12,D141&lt;=0),0,MAX(0,MIN(D141,E141-F141)))</f><v>746.90053015415936</v></c><c r="H141" s="126"><v>0</v></c><c r="I141" s="72"><f>IF(A141&gt;&apos;Property Calculator&apos;!$B$70*12,0,MAX(0,D141-G141-J141))</f><v>233445.03979166932</v></c><c r="J141" s="72"><f>IF(OR(A141&gt;&apos;Property Calculator&apos;!$B$70*12,D141&lt;=0),0,MIN(H141,MAX(0,D141-G141)))</f><v>0</v></c></row><row r="142" spans="1:10" x14ac:dyDescent="0.25"><c r="A142"><v>139</v></c><c r="B142"><f t="shared" si="2"/>&lt;v&gt;12&lt;/v&gt;&lt;/c&gt;&lt;c r=&quot;C142&quot; s=&quot;37&quot;&gt;&lt;f&gt;IF(A142&gt;&apos;Property Calculator&apos;!$B$70*12,0,IF(AND(&apos;Property Calculator&apos;!$B$72=1,B142&gt;&apos;Property Calculator&apos;!$B$69),&apos;Property Calculator&apos;!$B$73,&apos;Property Calculator&apos;!$B$65))</f><v>3.5000000000000003E-2</v></c><c r="D142" s="72"><f>IF(A142&gt;&apos;Property Calculator&apos;!$B$70*12,0,I141)</f><v>233445.03979166932</v></c><c r="E142" s="72"><f>IF(OR(A142&gt;&apos;Property Calculator&apos;!$B$70*12,D142&lt;=0),0,IF(AND(&apos;Property Calculator&apos;!$B$72=1,B142&gt;&apos;Property Calculator&apos;!$B$69),MIN(D142*C142/12+&apos;Property Calculator&apos;!$B$74/12,D142*(1+C142/12)),MIN(&apos;Property Calculator&apos;!$B$67,D142*(1+C142/12))))</f><v>1429.9603560928113</v></c><c r="F142" s="72"><f>IF(OR(A142&gt;&apos;Property Calculator&apos;!$B$70*12,D142&lt;=0),0,D142*C142/12)</f><v>680.8813660590356</v></c><c r="G142" s="72"><f>IF(OR(A142&gt;&apos;Property Calculator&apos;!$B$70*12,D142&lt;=0),0,MAX(0,MIN(D142,E142-F142)))</f><v>749.07899003377565</v></c><c r="H142" s="126"><v>0</v></c><c r="I142" s="72"><f>IF(A142&gt;&apos;Property Calculator&apos;!$B$70*12,0,MAX(0,D142-G142-J142))</f><v>232695.96080163555</v></c><c r="J142" s="72"><f>IF(OR(A142&gt;&apos;Property Calculator&apos;!$B$70*12,D142&lt;=0),0,MIN(H142,MAX(0,D142-G142)))</f><v>0</v></c></row><row r="143" spans="1:10" x14ac:dyDescent="0.25"><c r="A143"><v>140</v></c><c r="B143"><f t="shared" si="2"/>&lt;v&gt;12&lt;/v&gt;&lt;/c&gt;&lt;c r=&quot;C143&quot; s=&quot;37&quot;&gt;&lt;f&gt;IF(A143&gt;&apos;Property Calculator&apos;!$B$70*12,0,IF(AND(&apos;Property Calculator&apos;!$B$72=1,B143&gt;&apos;Property Calculator&apos;!$B$69),&apos;Property Calculator&apos;!$B$73,&apos;Property Calculator&apos;!$B$65))</f><v>3.5000000000000003E-2</v></c><c r="D143" s="72"><f>IF(A143&gt;&apos;Property Calculator&apos;!$B$70*12,0,I142)</f><v>232695.96080163555</v></c><c r="E143" s="72"><f>IF(OR(A143&gt;&apos;Property Calculator&apos;!$B$70*12,D143&lt;=0),0,IF(AND(&apos;Property Calculator&apos;!$B$72=1,B143&gt;&apos;Property Calculator&apos;!$B$69),MIN(D143*C143/12+&apos;Property Calculator&apos;!$B$74/12,D143*(1+C143/12)),MIN(&apos;Property Calculator&apos;!$B$67,D143*(1+C143/12))))</f><v>1429.9603560928113</v></c><c r="F143" s="72"><f>IF(OR(A143&gt;&apos;Property Calculator&apos;!$B$70*12,D143&lt;=0),0,D143*C143/12)</f><v>678.69655233810374</v></c><c r="G143" s="72"><f>IF(OR(A143&gt;&apos;Property Calculator&apos;!$B$70*12,D143&lt;=0),0,MAX(0,MIN(D143,E143-F143)))</f><v>751.26380375470751</v></c><c r="H143" s="126"><v>0</v></c><c r="I143" s="72"><f>IF(A143&gt;&apos;Property Calculator&apos;!$B$70*12,0,MAX(0,D143-G143-J143))</f><v>231944.69699788085</v></c><c r="J143" s="72"><f>IF(OR(A143&gt;&apos;Property Calculator&apos;!$B$70*12,D143&lt;=0),0,MIN(H143,MAX(0,D143-G143)))</f><v>0</v></c></row><row r="144" spans="1:10" x14ac:dyDescent="0.25"><c r="A144"><v>141</v></c><c r="B144"><f t="shared" si="2"/>&lt;v&gt;12&lt;/v&gt;&lt;/c&gt;&lt;c r=&quot;C144&quot; s=&quot;37&quot;&gt;&lt;f&gt;IF(A144&gt;&apos;Property Calculator&apos;!$B$70*12,0,IF(AND(&apos;Property Calculator&apos;!$B$72=1,B144&gt;&apos;Property Calculator&apos;!$B$69),&apos;Property Calculator&apos;!$B$73,&apos;Property Calculator&apos;!$B$65))</f><v>3.5000000000000003E-2</v></c><c r="D144" s="72"><f>IF(A144&gt;&apos;Property Calculator&apos;!$B$70*12,0,I143)</f><v>231944.69699788085</v></c><c r="E144" s="72"><f>IF(OR(A144&gt;&apos;Property Calculator&apos;!$B$70*12,D144&lt;=0),0,IF(AND(&apos;Property Calculator&apos;!$B$72=1,B144&gt;&apos;Property Calculator&apos;!$B$69),MIN(D144*C144/12+&apos;Property Calculator&apos;!$B$74/12,D144*(1+C144/12)),MIN(&apos;Property Calculator&apos;!$B$67,D144*(1+C144/12))))</f><v>1429.9603560928113</v></c><c r="F144" s="72"><f>IF(OR(A144&gt;&apos;Property Calculator&apos;!$B$70*12,D144&lt;=0),0,D144*C144/12)</f><v>676.50536624381914</v></c><c r="G144" s="72"><f>IF(OR(A144&gt;&apos;Property Calculator&apos;!$B$70*12,D144&lt;=0),0,MAX(0,MIN(D144,E144-F144)))</f><v>753.45498984899211</v></c><c r="H144" s="126"><v>0</v></c><c r="I144" s="72"><f>IF(A144&gt;&apos;Property Calculator&apos;!$B$70*12,0,MAX(0,D144-G144-J144))</f><v>231191.24200803187</v></c><c r="J144" s="72"><f>IF(OR(A144&gt;&apos;Property Calculator&apos;!$B$70*12,D144&lt;=0),0,MIN(H144,MAX(0,D144-G144)))</f><v>0</v></c></row><row r="145" spans="1:10" x14ac:dyDescent="0.25"><c r="A145"><v>142</v></c><c r="B145"><f t="shared" si="2"/>&lt;v&gt;12&lt;/v&gt;&lt;/c&gt;&lt;c r=&quot;C145&quot; s=&quot;37&quot;&gt;&lt;f&gt;IF(A145&gt;&apos;Property Calculator&apos;!$B$70*12,0,IF(AND(&apos;Property Calculator&apos;!$B$72=1,B145&gt;&apos;Property Calculator&apos;!$B$69),&apos;Property Calculator&apos;!$B$73,&apos;Property Calculator&apos;!$B$65))</f><v>3.5000000000000003E-2</v></c><c r="D145" s="72"><f>IF(A145&gt;&apos;Property Calculator&apos;!$B$70*12,0,I144)</f><v>231191.24200803187</v></c><c r="E145" s="72"><f>IF(OR(A145&gt;&apos;Property Calculator&apos;!$B$70*12,D145&lt;=0),0,IF(AND(&apos;Property Calculator&apos;!$B$72=1,B145&gt;&apos;Property Calculator&apos;!$B$69),MIN(D145*C145/12+&apos;Property Calculator&apos;!$B$74/12,D145*(1+C145/12)),MIN(&apos;Property Calculator&apos;!$B$67,D145*(1+C145/12))))</f><v>1429.9603560928113</v></c><c r="F145" s="72"><f>IF(OR(A145&gt;&apos;Property Calculator&apos;!$B$70*12,D145&lt;=0),0,D145*C145/12)</f><v>674.30778919009299</v></c><c r="G145" s="72"><f>IF(OR(A145&gt;&apos;Property Calculator&apos;!$B$70*12,D145&lt;=0),0,MAX(0,MIN(D145,E145-F145)))</f><v>755.65256690271826</v></c><c r="H145" s="126"><v>0</v></c><c r="I145" s="72"><f>IF(A145&gt;&apos;Property Calculator&apos;!$B$70*12,0,MAX(0,D145-G145-J145))</f><v>230435.58944112915</v></c><c r="J145" s="72"><f>IF(OR(A145&gt;&apos;Property Calculator&apos;!$B$70*12,D145&lt;=0),0,MIN(H145,MAX(0,D145-G145)))</f><v>0</v></c></row><row r="146" spans="1:10" x14ac:dyDescent="0.25"><c r="A146"><v>143</v></c><c r="B146"><f t="shared" si="2"/>&lt;v&gt;12&lt;/v&gt;&lt;/c&gt;&lt;c r=&quot;C146&quot; s=&quot;37&quot;&gt;&lt;f&gt;IF(A146&gt;&apos;Property Calculator&apos;!$B$70*12,0,IF(AND(&apos;Property Calculator&apos;!$B$72=1,B146&gt;&apos;Property Calculator&apos;!$B$69),&apos;Property Calculator&apos;!$B$73,&apos;Property Calculator&apos;!$B$65))</f><v>3.5000000000000003E-2</v></c><c r="D146" s="72"><f>IF(A146&gt;&apos;Property Calculator&apos;!$B$70*12,0,I145)</f><v>230435.58944112915</v></c><c r="E146" s="72"><f>IF(OR(A146&gt;&apos;Property Calculator&apos;!$B$70*12,D146&lt;=0),0,IF(AND(&apos;Property Calculator&apos;!$B$72=1,B146&gt;&apos;Property Calculator&apos;!$B$69),MIN(D146*C146/12+&apos;Property Calculator&apos;!$B$74/12,D146*(1+C146/12)),MIN(&apos;Property Calculator&apos;!$B$67,D146*(1+C146/12))))</f><v>1429.9603560928113</v></c><c r="F146" s="72"><f>IF(OR(A146&gt;&apos;Property Calculator&apos;!$B$70*12,D146&lt;=0),0,D146*C146/12)</f><v>672.10380253662674</v></c><c r="G146" s="72"><f>IF(OR(A146&gt;&apos;Property Calculator&apos;!$B$70*12,D146&lt;=0),0,MAX(0,MIN(D146,E146-F146)))</f><v>757.85655355618451</v></c><c r="H146" s="126"><v>0</v></c><c r="I146" s="72"><f>IF(A146&gt;&apos;Property Calculator&apos;!$B$70*12,0,MAX(0,D146-G146-J146))</f><v>229677.73288757296</v></c><c r="J146" s="72"><f>IF(OR(A146&gt;&apos;Property Calculator&apos;!$B$70*12,D146&lt;=0),0,MIN(H146,MAX(0,D146-G146)))</f><v>0</v></c></row><row r="147" spans="1:10" x14ac:dyDescent="0.25"><c r="A147"><v>144</v></c><c r="B147"><f t="shared" si="2"/>&lt;v&gt;12&lt;/v&gt;&lt;/c&gt;&lt;c r=&quot;C147&quot; s=&quot;37&quot;&gt;&lt;f&gt;IF(A147&gt;&apos;Property Calculator&apos;!$B$70*12,0,IF(AND(&apos;Property Calculator&apos;!$B$72=1,B147&gt;&apos;Property Calculator&apos;!$B$69),&apos;Property Calculator&apos;!$B$73,&apos;Property Calculator&apos;!$B$65))</f><v>3.5000000000000003E-2</v></c><c r="D147" s="72"><f>IF(A147&gt;&apos;Property Calculator&apos;!$B$70*12,0,I146)</f><v>229677.73288757296</v></c><c r="E147" s="72"><f>IF(OR(A147&gt;&apos;Property Calculator&apos;!$B$70*12,D147&lt;=0),0,IF(AND(&apos;Property Calculator&apos;!$B$72=1,B147&gt;&apos;Property Calculator&apos;!$B$69),MIN(D147*C147/12+&apos;Property Calculator&apos;!$B$74/12,D147*(1+C147/12)),MIN(&apos;Property Calculator&apos;!$B$67,D147*(1+C147/12))))</f><v>1429.9603560928113</v></c><c r="F147" s="72"><f>IF(OR(A147&gt;&apos;Property Calculator&apos;!$B$70*12,D147&lt;=0),0,D147*C147/12)</f><v>669.89338758875454</v></c><c r="G147" s="72"><f>IF(OR(A147&gt;&apos;Property Calculator&apos;!$B$70*12,D147&lt;=0),0,MAX(0,MIN(D147,E147-F147)))</f><v>760.06696850405672</v></c><c r="H147" s="126"><v>0</v></c><c r="I147" s="72"><f>IF(A147&gt;&apos;Property Calculator&apos;!$B$70*12,0,MAX(0,D147-G147-J147))</f><v>228917.66591906891</v></c><c r="J147" s="72"><f>IF(OR(A147&gt;&apos;Property Calculator&apos;!$B$70*12,D147&lt;=0),0,MIN(H147,MAX(0,D147-G147)))</f><v>0</v></c></row><row r="148" spans="1:10" x14ac:dyDescent="0.25"><c r="A148"><v>145</v></c><c r="B148"><f t="shared" si="2"/>&lt;v&gt;13&lt;/v&gt;&lt;/c&gt;&lt;c r=&quot;C148&quot; s=&quot;37&quot;&gt;&lt;f&gt;IF(A148&gt;&apos;Property Calculator&apos;!$B$70*12,0,IF(AND(&apos;Property Calculator&apos;!$B$72=1,B148&gt;&apos;Property Calculator&apos;!$B$69),&apos;Property Calculator&apos;!$B$73,&apos;Property Calculator&apos;!$B$65))</f><v>3.5000000000000003E-2</v></c><c r="D148" s="72"><f>IF(A148&gt;&apos;Property Calculator&apos;!$B$70*12,0,I147)</f><v>228917.66591906891</v></c><c r="E148" s="72"><f>IF(OR(A148&gt;&apos;Property Calculator&apos;!$B$70*12,D148&lt;=0),0,IF(AND(&apos;Property Calculator&apos;!$B$72=1,B148&gt;&apos;Property Calculator&apos;!$B$69),MIN(D148*C148/12+&apos;Property Calculator&apos;!$B$74/12,D148*(1+C148/12)),MIN(&apos;Property Calculator&apos;!$B$67,D148*(1+C148/12))))</f><v>1429.9603560928113</v></c><c r="F148" s="72"><f>IF(OR(A148&gt;&apos;Property Calculator&apos;!$B$70*12,D148&lt;=0),0,D148*C148/12)</f><v>667.67652559728435</v></c><c r="G148" s="72"><f>IF(OR(A148&gt;&apos;Property Calculator&apos;!$B$70*12,D148&lt;=0),0,MAX(0,MIN(D148,E148-F148)))</f><v>762.2838304955269</v></c><c r="H148" s="126"><v>0</v></c><c r="I148" s="72"><f>IF(A148&gt;&apos;Property Calculator&apos;!$B$70*12,0,MAX(0,D148-G148-J148))</f><v>228155.38208857339</v></c><c r="J148" s="72"><f>IF(OR(A148&gt;&apos;Property Calculator&apos;!$B$70*12,D148&lt;=0),0,MIN(H148,MAX(0,D148-G148)))</f><v>0</v></c></row><row r="149" spans="1:10" x14ac:dyDescent="0.25"><c r="A149"><v>146</v></c><c r="B149"><f t="shared" si="2"/>&lt;v&gt;13&lt;/v&gt;&lt;/c&gt;&lt;c r=&quot;C149&quot; s=&quot;37&quot;&gt;&lt;f&gt;IF(A149&gt;&apos;Property Calculator&apos;!$B$70*12,0,IF(AND(&apos;Property Calculator&apos;!$B$72=1,B149&gt;&apos;Property Calculator&apos;!$B$69),&apos;Property Calculator&apos;!$B$73,&apos;Property Calculator&apos;!$B$65))</f><v>3.5000000000000003E-2</v></c><c r="D149" s="72"><f>IF(A149&gt;&apos;Property Calculator&apos;!$B$70*12,0,I148)</f><v>228155.38208857339</v></c><c r="E149" s="72"><f>IF(OR(A149&gt;&apos;Property Calculator&apos;!$B$70*12,D149&lt;=0),0,IF(AND(&apos;Property Calculator&apos;!$B$72=1,B149&gt;&apos;Property Calculator&apos;!$B$69),MIN(D149*C149/12+&apos;Property Calculator&apos;!$B$74/12,D149*(1+C149/12)),MIN(&apos;Property Calculator&apos;!$B$67,D149*(1+C149/12))))</f><v>1429.9603560928113</v></c><c r="F149" s="72"><f>IF(OR(A149&gt;&apos;Property Calculator&apos;!$B$70*12,D149&lt;=0),0,D149*C149/12)</f><v>665.45319775833912</v></c><c r="G149" s="72"><f>IF(OR(A149&gt;&apos;Property Calculator&apos;!$B$70*12,D149&lt;=0),0,MAX(0,MIN(D149,E149-F149)))</f><v>764.50715833447214</v></c><c r="H149" s="126"><v>0</v></c><c r="I149" s="72"><f>IF(A149&gt;&apos;Property Calculator&apos;!$B$70*12,0,MAX(0,D149-G149-J149))</f><v>227390.8749302389</v></c><c r="J149" s="72"><f>IF(OR(A149&gt;&apos;Property Calculator&apos;!$B$70*12,D149&lt;=0),0,MIN(H149,MAX(0,D149-G149)))</f><v>0</v></c></row><row r="150" spans="1:10" x14ac:dyDescent="0.25"><c r="A150"><v>147</v></c><c r="B150"><f t="shared" si="2"/>&lt;v&gt;13&lt;/v&gt;&lt;/c&gt;&lt;c r=&quot;C150&quot; s=&quot;37&quot;&gt;&lt;f&gt;IF(A150&gt;&apos;Property Calculator&apos;!$B$70*12,0,IF(AND(&apos;Property Calculator&apos;!$B$72=1,B150&gt;&apos;Property Calculator&apos;!$B$69),&apos;Property Calculator&apos;!$B$73,&apos;Property Calculator&apos;!$B$65))</f><v>3.5000000000000003E-2</v></c><c r="D150" s="72"><f>IF(A150&gt;&apos;Property Calculator&apos;!$B$70*12,0,I149)</f><v>227390.8749302389</v></c><c r="E150" s="72"><f>IF(OR(A150&gt;&apos;Property Calculator&apos;!$B$70*12,D150&lt;=0),0,IF(AND(&apos;Property Calculator&apos;!$B$72=1,B150&gt;&apos;Property Calculator&apos;!$B$69),MIN(D150*C150/12+&apos;Property Calculator&apos;!$B$74/12,D150*(1+C150/12)),MIN(&apos;Property Calculator&apos;!$B$67,D150*(1+C150/12))))</f><v>1429.9603560928113</v></c><c r="F150" s="72"><f>IF(OR(A150&gt;&apos;Property Calculator&apos;!$B$70*12,D150&lt;=0),0,D150*C150/12)</f><v>663.22338521319682</v></c><c r="G150" s="72"><f>IF(OR(A150&gt;&apos;Property Calculator&apos;!$B$70*12,D150&lt;=0),0,MAX(0,MIN(D150,E150-F150)))</f><v>766.73697087961443</v></c><c r="H150" s="126"><v>0</v></c><c r="I150" s="72"><f>IF(A150&gt;&apos;Property Calculator&apos;!$B$70*12,0,MAX(0,D150-G150-J150))</f><v>226624.1379593593</v></c><c r="J150" s="72"><f>IF(OR(A150&gt;&apos;Property Calculator&apos;!$B$70*12,D150&lt;=0),0,MIN(H150,MAX(0,D150-G150)))</f><v>0</v></c></row><row r="151" spans="1:10" x14ac:dyDescent="0.25"><c r="A151"><v>148</v></c><c r="B151"><f t="shared" si="2"/>&lt;v&gt;13&lt;/v&gt;&lt;/c&gt;&lt;c r=&quot;C151&quot; s=&quot;37&quot;&gt;&lt;f&gt;IF(A151&gt;&apos;Property Calculator&apos;!$B$70*12,0,IF(AND(&apos;Property Calculator&apos;!$B$72=1,B151&gt;&apos;Property Calculator&apos;!$B$69),&apos;Property Calculator&apos;!$B$73,&apos;Property Calculator&apos;!$B$65))</f><v>3.5000000000000003E-2</v></c><c r="D151" s="72"><f>IF(A151&gt;&apos;Property Calculator&apos;!$B$70*12,0,I150)</f><v>226624.1379593593</v></c><c r="E151" s="72"><f>IF(OR(A151&gt;&apos;Property Calculator&apos;!$B$70*12,D151&lt;=0),0,IF(AND(&apos;Property Calculator&apos;!$B$72=1,B151&gt;&apos;Property Calculator&apos;!$B$69),MIN(D151*C151/12+&apos;Property Calculator&apos;!$B$74/12,D151*(1+C151/12)),MIN(&apos;Property Calculator&apos;!$B$67,D151*(1+C151/12))))</f><v>1429.9603560928113</v></c><c r="F151" s="72"><f>IF(OR(A151&gt;&apos;Property Calculator&apos;!$B$70*12,D151&lt;=0),0,D151*C151/12)</f><v>660.98706904813139</v></c><c r="G151" s="72"><f>IF(OR(A151&gt;&apos;Property Calculator&apos;!$B$70*12,D151&lt;=0),0,MAX(0,MIN(D151,E151-F151)))</f><v>768.97328704467986</v></c><c r="H151" s="126"><v>0</v></c><c r="I151" s="72"><f>IF(A151&gt;&apos;Property Calculator&apos;!$B$70*12,0,MAX(0,D151-G151-J151))</f><v>225855.16467231463</v></c><c r="J151" s="72"><f>IF(OR(A151&gt;&apos;Property Calculator&apos;!$B$70*12,D151&lt;=0),0,MIN(H151,MAX(0,D151-G151)))</f><v>0</v></c></row><row r="152" spans="1:10" x14ac:dyDescent="0.25"><c r="A152"><v>149</v></c><c r="B152"><f t="shared" si="2"/>&lt;v&gt;13&lt;/v&gt;&lt;/c&gt;&lt;c r=&quot;C152&quot; s=&quot;37&quot;&gt;&lt;f&gt;IF(A152&gt;&apos;Property Calculator&apos;!$B$70*12,0,IF(AND(&apos;Property Calculator&apos;!$B$72=1,B152&gt;&apos;Property Calculator&apos;!$B$69),&apos;Property Calculator&apos;!$B$73,&apos;Property Calculator&apos;!$B$65))</f><v>3.5000000000000003E-2</v></c><c r="D152" s="72"><f>IF(A152&gt;&apos;Property Calculator&apos;!$B$70*12,0,I151)</f><v>225855.16467231463</v></c><c r="E152" s="72"><f>IF(OR(A152&gt;&apos;Property Calculator&apos;!$B$70*12,D152&lt;=0),0,IF(AND(&apos;Property Calculator&apos;!$B$72=1,B152&gt;&apos;Property Calculator&apos;!$B$69),MIN(D152*C152/12+&apos;Property Calculator&apos;!$B$74/12,D152*(1+C152/12)),MIN(&apos;Property Calculator&apos;!$B$67,D152*(1+C152/12))))</f><v>1429.9603560928113</v></c><c r="F152" s="72"><f>IF(OR(A152&gt;&apos;Property Calculator&apos;!$B$70*12,D152&lt;=0),0,D152*C152/12)</f><v>658.744230294251</v></c><c r="G152" s="72"><f>IF(OR(A152&gt;&apos;Property Calculator&apos;!$B$70*12,D152&lt;=0),0,MAX(0,MIN(D152,E152-F152)))</f><v>771.21612579856026</v></c><c r="H152" s="126"><v>0</v></c><c r="I152" s="72"><f>IF(A152&gt;&apos;Property Calculator&apos;!$B$70*12,0,MAX(0,D152-G152-J152))</f><v>225083.94854651607</v></c><c r="J152" s="72"><f>IF(OR(A152&gt;&apos;Property Calculator&apos;!$B$70*12,D152&lt;=0),0,MIN(H152,MAX(0,D152-G152)))</f><v>0</v></c></row><row r="153" spans="1:10" x14ac:dyDescent="0.25"><c r="A153"><v>150</v></c><c r="B153"><f t="shared" si="2"/>&lt;v&gt;13&lt;/v&gt;&lt;/c&gt;&lt;c r=&quot;C153&quot; s=&quot;37&quot;&gt;&lt;f&gt;IF(A153&gt;&apos;Property Calculator&apos;!$B$70*12,0,IF(AND(&apos;Property Calculator&apos;!$B$72=1,B153&gt;&apos;Property Calculator&apos;!$B$69),&apos;Property Calculator&apos;!$B$73,&apos;Property Calculator&apos;!$B$65))</f><v>3.5000000000000003E-2</v></c><c r="D153" s="72"><f>IF(A153&gt;&apos;Property Calculator&apos;!$B$70*12,0,I152)</f><v>225083.94854651607</v></c><c r="E153" s="72"><f>IF(OR(A153&gt;&apos;Property Calculator&apos;!$B$70*12,D153&lt;=0),0,IF(AND(&apos;Property Calculator&apos;!$B$72=1,B153&gt;&apos;Property Calculator&apos;!$B$69),MIN(D153*C153/12+&apos;Property Calculator&apos;!$B$74/12,D153*(1+C153/12)),MIN(&apos;Property Calculator&apos;!$B$67,D153*(1+C153/12))))</f><v>1429.9603560928113</v></c><c r="F153" s="72"><f>IF(OR(A153&gt;&apos;Property Calculator&apos;!$B$70*12,D153&lt;=0),0,D153*C153/12)</f><v>656.49484992733858</v></c><c r="G153" s="72"><f>IF(OR(A153&gt;&apos;Property Calculator&apos;!$B$70*12,D153&lt;=0),0,MAX(0,MIN(D153,E153-F153)))</f><v>773.46550616547268</v></c><c r="H153" s="126"><v>0</v></c><c r="I153" s="72"><f>IF(A153&gt;&apos;Property Calculator&apos;!$B$70*12,0,MAX(0,D153-G153-J153))</f><v>224310.48304035061</v></c><c r="J153" s="72"><f>IF(OR(A153&gt;&apos;Property Calculator&apos;!$B$70*12,D153&lt;=0),0,MIN(H153,MAX(0,D153-G153)))</f><v>0</v></c></row><row r="154" spans="1:10" x14ac:dyDescent="0.25"><c r="A154"><v>151</v></c><c r="B154"><f t="shared" si="2"/>&lt;v&gt;13&lt;/v&gt;&lt;/c&gt;&lt;c r=&quot;C154&quot; s=&quot;37&quot;&gt;&lt;f&gt;IF(A154&gt;&apos;Property Calculator&apos;!$B$70*12,0,IF(AND(&apos;Property Calculator&apos;!$B$72=1,B154&gt;&apos;Property Calculator&apos;!$B$69),&apos;Property Calculator&apos;!$B$73,&apos;Property Calculator&apos;!$B$65))</f><v>3.5000000000000003E-2</v></c><c r="D154" s="72"><f>IF(A154&gt;&apos;Property Calculator&apos;!$B$70*12,0,I153)</f><v>224310.48304035061</v></c><c r="E154" s="72"><f>IF(OR(A154&gt;&apos;Property Calculator&apos;!$B$70*12,D154&lt;=0),0,IF(AND(&apos;Property Calculator&apos;!$B$72=1,B154&gt;&apos;Property Calculator&apos;!$B$69),MIN(D154*C154/12+&apos;Property Calculator&apos;!$B$74/12,D154*(1+C154/12)),MIN(&apos;Property Calculator&apos;!$B$67,D154*(1+C154/12))))</f><v>1429.9603560928113</v></c><c r="F154" s="72"><f>IF(OR(A154&gt;&apos;Property Calculator&apos;!$B$70*12,D154&lt;=0),0,D154*C154/12)</f><v>654.23890886768936</v></c><c r="G154" s="72"><f>IF(OR(A154&gt;&apos;Property Calculator&apos;!$B$70*12,D154&lt;=0),0,MAX(0,MIN(D154,E154-F154)))</f><v>775.72144722512189</v></c><c r="H154" s="126"><v>0</v></c><c r="I154" s="72"><f>IF(A154&gt;&apos;Property Calculator&apos;!$B$70*12,0,MAX(0,D154-G154-J154))</f><v>223534.76159312547</v></c><c r="J154" s="72"><f>IF(OR(A154&gt;&apos;Property Calculator&apos;!$B$70*12,D154&lt;=0),0,MIN(H154,MAX(0,D154-G154)))</f><v>0</v></c></row><row r="155" spans="1:10" x14ac:dyDescent="0.25"><c r="A155"><v>152</v></c><c r="B155"><f t="shared" si="2"/>&lt;v&gt;13&lt;/v&gt;&lt;/c&gt;&lt;c r=&quot;C155&quot; s=&quot;37&quot;&gt;&lt;f&gt;IF(A155&gt;&apos;Property Calculator&apos;!$B$70*12,0,IF(AND(&apos;Property Calculator&apos;!$B$72=1,B155&gt;&apos;Property Calculator&apos;!$B$69),&apos;Property Calculator&apos;!$B$73,&apos;Property Calculator&apos;!$B$65))</f><v>3.5000000000000003E-2</v></c><c r="D155" s="72"><f>IF(A155&gt;&apos;Property Calculator&apos;!$B$70*12,0,I154)</f><v>223534.76159312547</v></c><c r="E155" s="72"><f>IF(OR(A155&gt;&apos;Property Calculator&apos;!$B$70*12,D155&lt;=0),0,IF(AND(&apos;Property Calculator&apos;!$B$72=1,B155&gt;&apos;Property Calculator&apos;!$B$69),MIN(D155*C155/12+&apos;Property Calculator&apos;!$B$74/12,D155*(1+C155/12)),MIN(&apos;Property Calculator&apos;!$B$67,D155*(1+C155/12))))</f><v>1429.9603560928113</v></c><c r="F155" s="72"><f>IF(OR(A155&gt;&apos;Property Calculator&apos;!$B$70*12,D155&lt;=0),0,D155*C155/12)</f><v>651.97638797994932</v></c><c r="G155" s="72"><f>IF(OR(A155&gt;&apos;Property Calculator&apos;!$B$70*12,D155&lt;=0),0,MAX(0,MIN(D155,E155-F155)))</f><v>777.98396811286193</v></c><c r="H155" s="126"><v>0</v></c><c r="I155" s="72"><f>IF(A155&gt;&apos;Property Calculator&apos;!$B$70*12,0,MAX(0,D155-G155-J155))</f><v>222756.77762501262</v></c><c r="J155" s="72"><f>IF(OR(A155&gt;&apos;Property Calculator&apos;!$B$70*12,D155&lt;=0),0,MIN(H155,MAX(0,D155-G155)))</f><v>0</v></c></row><row r="156" spans="1:10" x14ac:dyDescent="0.25"><c r="A156"><v>153</v></c><c r="B156"><f t="shared" si="2"/>&lt;v&gt;13&lt;/v&gt;&lt;/c&gt;&lt;c r=&quot;C156&quot; s=&quot;37&quot;&gt;&lt;f&gt;IF(A156&gt;&apos;Property Calculator&apos;!$B$70*12,0,IF(AND(&apos;Property Calculator&apos;!$B$72=1,B156&gt;&apos;Property Calculator&apos;!$B$69),&apos;Property Calculator&apos;!$B$73,&apos;Property Calculator&apos;!$B$65))</f><v>3.5000000000000003E-2</v></c><c r="D156" s="72"><f>IF(A156&gt;&apos;Property Calculator&apos;!$B$70*12,0,I155)</f><v>222756.77762501262</v></c><c r="E156" s="72"><f>IF(OR(A156&gt;&apos;Property Calculator&apos;!$B$70*12,D156&lt;=0),0,IF(AND(&apos;Property Calculator&apos;!$B$72=1,B156&gt;&apos;Property Calculator&apos;!$B$69),MIN(D156*C156/12+&apos;Property Calculator&apos;!$B$74/12,D156*(1+C156/12)),MIN(&apos;Property Calculator&apos;!$B$67,D156*(1+C156/12))))</f><v>1429.9603560928113</v></c><c r="F156" s="72"><f>IF(OR(A156&gt;&apos;Property Calculator&apos;!$B$70*12,D156&lt;=0),0,D156*C156/12)</f><v>649.70726807295353</v></c><c r="G156" s="72"><f>IF(OR(A156&gt;&apos;Property Calculator&apos;!$B$70*12,D156&lt;=0),0,MAX(0,MIN(D156,E156-F156)))</f><v>780.25308801985773</v></c><c r="H156" s="126"><v>0</v></c><c r="I156" s="72"><f>IF(A156&gt;&apos;Property Calculator&apos;!$B$70*12,0,MAX(0,D156-G156-J156))</f><v>221976.52453699277</v></c><c r="J156" s="72"><f>IF(OR(A156&gt;&apos;Property Calculator&apos;!$B$70*12,D156&lt;=0),0,MIN(H156,MAX(0,D156-G156)))</f><v>0</v></c></row><row r="157" spans="1:10" x14ac:dyDescent="0.25"><c r="A157"><v>154</v></c><c r="B157"><f t="shared" si="2"/>&lt;v&gt;13&lt;/v&gt;&lt;/c&gt;&lt;c r=&quot;C157&quot; s=&quot;37&quot;&gt;&lt;f&gt;IF(A157&gt;&apos;Property Calculator&apos;!$B$70*12,0,IF(AND(&apos;Property Calculator&apos;!$B$72=1,B157&gt;&apos;Property Calculator&apos;!$B$69),&apos;Property Calculator&apos;!$B$73,&apos;Property Calculator&apos;!$B$65))</f><v>3.5000000000000003E-2</v></c><c r="D157" s="72"><f>IF(A157&gt;&apos;Property Calculator&apos;!$B$70*12,0,I156)</f><v>221976.52453699277</v></c><c r="E157" s="72"><f>IF(OR(A157&gt;&apos;Property Calculator&apos;!$B$70*12,D157&lt;=0),0,IF(AND(&apos;Property Calculator&apos;!$B$72=1,B157&gt;&apos;Property Calculator&apos;!$B$69),MIN(D157*C157/12+&apos;Property Calculator&apos;!$B$74/12,D157*(1+C157/12)),MIN(&apos;Property Calculator&apos;!$B$67,D157*(1+C157/12))))</f><v>1429.9603560928113</v></c><c r="F157" s="72"><f>IF(OR(A157&gt;&apos;Property Calculator&apos;!$B$70*12,D157&lt;=0),0,D157*C157/12)</f><v>647.43152989956229</v></c><c r="G157" s="72"><f>IF(OR(A157&gt;&apos;Property Calculator&apos;!$B$70*12,D157&lt;=0),0,MAX(0,MIN(D157,E157-F157)))</f><v>782.52882619324896</v></c><c r="H157" s="126"><v>0</v></c><c r="I157" s="72"><f>IF(A157&gt;&apos;Property Calculator&apos;!$B$70*12,0,MAX(0,D157-G157-J157))</f><v>221193.99571079953</v></c><c r="J157" s="72"><f>IF(OR(A157&gt;&apos;Property Calculator&apos;!$B$70*12,D157&lt;=0),0,MIN(H157,MAX(0,D157-G157)))</f><v>0</v></c></row><row r="158" spans="1:10" x14ac:dyDescent="0.25"><c r="A158"><v>155</v></c><c r="B158"><f t="shared" si="2"/>&lt;v&gt;13&lt;/v&gt;&lt;/c&gt;&lt;c r=&quot;C158&quot; s=&quot;37&quot;&gt;&lt;f&gt;IF(A158&gt;&apos;Property Calculator&apos;!$B$70*12,0,IF(AND(&apos;Property Calculator&apos;!$B$72=1,B158&gt;&apos;Property Calculator&apos;!$B$69),&apos;Property Calculator&apos;!$B$73,&apos;Property Calculator&apos;!$B$65))</f><v>3.5000000000000003E-2</v></c><c r="D158" s="72"><f>IF(A158&gt;&apos;Property Calculator&apos;!$B$70*12,0,I157)</f><v>221193.99571079953</v></c><c r="E158" s="72"><f>IF(OR(A158&gt;&apos;Property Calculator&apos;!$B$70*12,D158&lt;=0),0,IF(AND(&apos;Property Calculator&apos;!$B$72=1,B158&gt;&apos;Property Calculator&apos;!$B$69),MIN(D158*C158/12+&apos;Property Calculator&apos;!$B$74/12,D158*(1+C158/12)),MIN(&apos;Property Calculator&apos;!$B$67,D158*(1+C158/12))))</f><v>1429.9603560928113</v></c><c r="F158" s="72"><f>IF(OR(A158&gt;&apos;Property Calculator&apos;!$B$70*12,D158&lt;=0),0,D158*C158/12)</f><v>645.14915415649864</v></c><c r="G158" s="72"><f>IF(OR(A158&gt;&apos;Property Calculator&apos;!$B$70*12,D158&lt;=0),0,MAX(0,MIN(D158,E158-F158)))</f><v>784.81120193631261</v></c><c r="H158" s="126"><v>0</v></c><c r="I158" s="72"><f>IF(A158&gt;&apos;Property Calculator&apos;!$B$70*12,0,MAX(0,D158-G158-J158))</f><v>220409.18450886323</v></c><c r="J158" s="72"><f>IF(OR(A158&gt;&apos;Property Calculator&apos;!$B$70*12,D158&lt;=0),0,MIN(H158,MAX(0,D158-G158)))</f><v>0</v></c></row><row r="159" spans="1:10" x14ac:dyDescent="0.25"><c r="A159"><v>156</v></c><c r="B159"><f t="shared" si="2"/>&lt;v&gt;13&lt;/v&gt;&lt;/c&gt;&lt;c r=&quot;C159&quot; s=&quot;37&quot;&gt;&lt;f&gt;IF(A159&gt;&apos;Property Calculator&apos;!$B$70*12,0,IF(AND(&apos;Property Calculator&apos;!$B$72=1,B159&gt;&apos;Property Calculator&apos;!$B$69),&apos;Property Calculator&apos;!$B$73,&apos;Property Calculator&apos;!$B$65))</f><v>3.5000000000000003E-2</v></c><c r="D159" s="72"><f>IF(A159&gt;&apos;Property Calculator&apos;!$B$70*12,0,I158)</f><v>220409.18450886323</v></c><c r="E159" s="72"><f>IF(OR(A159&gt;&apos;Property Calculator&apos;!$B$70*12,D159&lt;=0),0,IF(AND(&apos;Property Calculator&apos;!$B$72=1,B159&gt;&apos;Property Calculator&apos;!$B$69),MIN(D159*C159/12+&apos;Property Calculator&apos;!$B$74/12,D159*(1+C159/12)),MIN(&apos;Property Calculator&apos;!$B$67,D159*(1+C159/12))))</f><v>1429.9603560928113</v></c><c r="F159" s="72"><f>IF(OR(A159&gt;&apos;Property Calculator&apos;!$B$70*12,D159&lt;=0),0,D159*C159/12)</f><v>642.86012148418445</v></c><c r="G159" s="72"><f>IF(OR(A159&gt;&apos;Property Calculator&apos;!$B$70*12,D159&lt;=0),0,MAX(0,MIN(D159,E159-F159)))</f><v>787.10023460862681</v></c><c r="H159" s="126"><v>0</v></c><c r="I159" s="72"><f>IF(A159&gt;&apos;Property Calculator&apos;!$B$70*12,0,MAX(0,D159-G159-J159))</f><v>219622.08427425459</v></c><c r="J159" s="72"><f>IF(OR(A159&gt;&apos;Property Calculator&apos;!$B$70*12,D159&lt;=0),0,MIN(H159,MAX(0,D159-G159)))</f><v>0</v></c></row><row r="160" spans="1:10" x14ac:dyDescent="0.25"><c r="A160"><v>157</v></c><c r="B160"><f t="shared" si="2"/>&lt;v&gt;14&lt;/v&gt;&lt;/c&gt;&lt;c r=&quot;C160&quot; s=&quot;37&quot;&gt;&lt;f&gt;IF(A160&gt;&apos;Property Calculator&apos;!$B$70*12,0,IF(AND(&apos;Property Calculator&apos;!$B$72=1,B160&gt;&apos;Property Calculator&apos;!$B$69),&apos;Property Calculator&apos;!$B$73,&apos;Property Calculator&apos;!$B$65))</f><v>3.5000000000000003E-2</v></c><c r="D160" s="72"><f>IF(A160&gt;&apos;Property Calculator&apos;!$B$70*12,0,I159)</f><v>219622.08427425459</v></c><c r="E160" s="72"><f>IF(OR(A160&gt;&apos;Property Calculator&apos;!$B$70*12,D160&lt;=0),0,IF(AND(&apos;Property Calculator&apos;!$B$72=1,B160&gt;&apos;Property Calculator&apos;!$B$69),MIN(D160*C160/12+&apos;Property Calculator&apos;!$B$74/12,D160*(1+C160/12)),MIN(&apos;Property Calculator&apos;!$B$67,D160*(1+C160/12))))</f><v>1429.9603560928113</v></c><c r="F160" s="72"><f>IF(OR(A160&gt;&apos;Property Calculator&apos;!$B$70*12,D160&lt;=0),0,D160*C160/12)</f><v>640.56441246657596</v></c><c r="G160" s="72"><f>IF(OR(A160&gt;&apos;Property Calculator&apos;!$B$70*12,D160&lt;=0),0,MAX(0,MIN(D160,E160-F160)))</f><v>789.39594362623529</v></c><c r="H160" s="126"><v>0</v></c><c r="I160" s="72"><f>IF(A160&gt;&apos;Property Calculator&apos;!$B$70*12,0,MAX(0,D160-G160-J160))</f><v>218832.68833062836</v></c><c r="J160" s="72"><f>IF(OR(A160&gt;&apos;Property Calculator&apos;!$B$70*12,D160&lt;=0),0,MIN(H160,MAX(0,D160-G160)))</f><v>0</v></c></row><row r="161" spans="1:10" x14ac:dyDescent="0.25"><c r="A161"><v>158</v></c><c r="B161"><f t="shared" si="2"/>&lt;v&gt;14&lt;/v&gt;&lt;/c&gt;&lt;c r=&quot;C161&quot; s=&quot;37&quot;&gt;&lt;f&gt;IF(A161&gt;&apos;Property Calculator&apos;!$B$70*12,0,IF(AND(&apos;Property Calculator&apos;!$B$72=1,B161&gt;&apos;Property Calculator&apos;!$B$69),&apos;Property Calculator&apos;!$B$73,&apos;Property Calculator&apos;!$B$65))</f><v>3.5000000000000003E-2</v></c><c r="D161" s="72"><f>IF(A161&gt;&apos;Property Calculator&apos;!$B$70*12,0,I160)</f><v>218832.68833062836</v></c><c r="E161" s="72"><f>IF(OR(A161&gt;&apos;Property Calculator&apos;!$B$70*12,D161&lt;=0),0,IF(AND(&apos;Property Calculator&apos;!$B$72=1,B161&gt;&apos;Property Calculator&apos;!$B$69),MIN(D161*C161/12+&apos;Property Calculator&apos;!$B$74/12,D161*(1+C161/12)),MIN(&apos;Property Calculator&apos;!$B$67,D161*(1+C161/12))))</f><v>1429.9603560928113</v></c><c r="F161" s="72"><f>IF(OR(A161&gt;&apos;Property Calculator&apos;!$B$70*12,D161&lt;=0),0,D161*C161/12)</f><v>638.26200763099939</v></c><c r="G161" s="72"><f>IF(OR(A161&gt;&apos;Property Calculator&apos;!$B$70*12,D161&lt;=0),0,MAX(0,MIN(D161,E161-F161)))</f><v>791.69834846181186</v></c><c r="H161" s="126"><v>0</v></c><c r="I161" s="72"><f>IF(A161&gt;&apos;Property Calculator&apos;!$B$70*12,0,MAX(0,D161-G161-J161))</f><v>218040.98998216653</v></c><c r="J161" s="72"><f>IF(OR(A161&gt;&apos;Property Calculator&apos;!$B$70*12,D161&lt;=0),0,MIN(H161,MAX(0,D161-G161)))</f><v>0</v></c></row><row r="162" spans="1:10" x14ac:dyDescent="0.25"><c r="A162"><v>159</v></c><c r="B162"><f t="shared" si="2"/>&lt;v&gt;14&lt;/v&gt;&lt;/c&gt;&lt;c r=&quot;C162&quot; s=&quot;37&quot;&gt;&lt;f&gt;IF(A162&gt;&apos;Property Calculator&apos;!$B$70*12,0,IF(AND(&apos;Property Calculator&apos;!$B$72=1,B162&gt;&apos;Property Calculator&apos;!$B$69),&apos;Property Calculator&apos;!$B$73,&apos;Property Calculator&apos;!$B$65))</f><v>3.5000000000000003E-2</v></c><c r="D162" s="72"><f>IF(A162&gt;&apos;Property Calculator&apos;!$B$70*12,0,I161)</f><v>218040.98998216653</v></c><c r="E162" s="72"><f>IF(OR(A162&gt;&apos;Property Calculator&apos;!$B$70*12,D162&lt;=0),0,IF(AND(&apos;Property Calculator&apos;!$B$72=1,B162&gt;&apos;Property Calculator&apos;!$B$69),MIN(D162*C162/12+&apos;Property Calculator&apos;!$B$74/12,D162*(1+C162/12)),MIN(&apos;Property Calculator&apos;!$B$67,D162*(1+C162/12))))</f><v>1429.9603560928113</v></c><c r="F162" s="72"><f>IF(OR(A162&gt;&apos;Property Calculator&apos;!$B$70*12,D162&lt;=0),0,D162*C162/12)</f><v>635.95288744798574</v></c><c r="G162" s="72"><f>IF(OR(A162&gt;&apos;Property Calculator&apos;!$B$70*12,D162&lt;=0),0,MAX(0,MIN(D162,E162-F162)))</f><v>794.00746864482551</v></c><c r="H162" s="126"><v>0</v></c><c r="I162" s="72"><f>IF(A162&gt;&apos;Property Calculator&apos;!$B$70*12,0,MAX(0,D162-G162-J162))</f><v>217246.98251352171</v></c><c r="J162" s="72"><f>IF(OR(A162&gt;&apos;Property Calculator&apos;!$B$70*12,D162&lt;=0),0,MIN(H162,MAX(0,D162-G162)))</f><v>0</v></c></row><row r="163" spans="1:10" x14ac:dyDescent="0.25"><c r="A163"><v>160</v></c><c r="B163"><f t="shared" si="2"/>&lt;v&gt;14&lt;/v&gt;&lt;/c&gt;&lt;c r=&quot;C163&quot; s=&quot;37&quot;&gt;&lt;f&gt;IF(A163&gt;&apos;Property Calculator&apos;!$B$70*12,0,IF(AND(&apos;Property Calculator&apos;!$B$72=1,B163&gt;&apos;Property Calculator&apos;!$B$69),&apos;Property Calculator&apos;!$B$73,&apos;Property Calculator&apos;!$B$65))</f><v>3.5000000000000003E-2</v></c><c r="D163" s="72"><f>IF(A163&gt;&apos;Property Calculator&apos;!$B$70*12,0,I162)</f><v>217246.98251352171</v></c><c r="E163" s="72"><f>IF(OR(A163&gt;&apos;Property Calculator&apos;!$B$70*12,D163&lt;=0),0,IF(AND(&apos;Property Calculator&apos;!$B$72=1,B163&gt;&apos;Property Calculator&apos;!$B$69),MIN(D163*C163/12+&apos;Property Calculator&apos;!$B$74/12,D163*(1+C163/12)),MIN(&apos;Property Calculator&apos;!$B$67,D163*(1+C163/12))))</f><v>1429.9603560928113</v></c><c r="F163" s="72"><f>IF(OR(A163&gt;&apos;Property Calculator&apos;!$B$70*12,D163&lt;=0),0,D163*C163/12)</f><v>633.63703233110505</v></c><c r="G163" s="72"><f>IF(OR(A163&gt;&apos;Property Calculator&apos;!$B$70*12,D163&lt;=0),0,MAX(0,MIN(D163,E163-F163)))</f><v>796.32332376170621</v></c><c r="H163" s="126"><v>0</v></c><c r="I163" s="72"><f>IF(A163&gt;&apos;Property Calculator&apos;!$B$70*12,0,MAX(0,D163-G163-J163))</f><v>216450.65918976002</v></c><c r="J163" s="72"><f>IF(OR(A163&gt;&apos;Property Calculator&apos;!$B$70*12,D163&lt;=0),0,MIN(H163,MAX(0,D163-G163)))</f><v>0</v></c></row><row r="164" spans="1:10" x14ac:dyDescent="0.25"><c r="A164"><v>161</v></c><c r="B164"><f t="shared" si="2"/>&lt;v&gt;14&lt;/v&gt;&lt;/c&gt;&lt;c r=&quot;C164&quot; s=&quot;37&quot;&gt;&lt;f&gt;IF(A164&gt;&apos;Property Calculator&apos;!$B$70*12,0,IF(AND(&apos;Property Calculator&apos;!$B$72=1,B164&gt;&apos;Property Calculator&apos;!$B$69),&apos;Property Calculator&apos;!$B$73,&apos;Property Calculator&apos;!$B$65))</f><v>3.5000000000000003E-2</v></c><c r="D164" s="72"><f>IF(A164&gt;&apos;Property Calculator&apos;!$B$70*12,0,I163)</f><v>216450.65918976002</v></c><c r="E164" s="72"><f>IF(OR(A164&gt;&apos;Property Calculator&apos;!$B$70*12,D164&lt;=0),0,IF(AND(&apos;Property Calculator&apos;!$B$72=1,B164&gt;&apos;Property Calculator&apos;!$B$69),MIN(D164*C164/12+&apos;Property Calculator&apos;!$B$74/12,D164*(1+C164/12)),MIN(&apos;Property Calculator&apos;!$B$67,D164*(1+C164/12))))</f><v>1429.9603560928113</v></c><c r="F164" s="72"><f>IF(OR(A164&gt;&apos;Property Calculator&apos;!$B$70*12,D164&lt;=0),0,D164*C164/12)</f><v>631.31442263680003</v></c><c r="G164" s="72"><f>IF(OR(A164&gt;&apos;Property Calculator&apos;!$B$70*12,D164&lt;=0),0,MAX(0,MIN(D164,E164-F164)))</f><v>798.64593345601122</v></c><c r="H164" s="126"><v>0</v></c><c r="I164" s="72"><f>IF(A164&gt;&apos;Property Calculator&apos;!$B$70*12,0,MAX(0,D164-G164-J164))</f><v>215652.013256304</v></c><c r="J164" s="72"><f>IF(OR(A164&gt;&apos;Property Calculator&apos;!$B$70*12,D164&lt;=0),0,MIN(H164,MAX(0,D164-G164)))</f><v>0</v></c></row><row r="165" spans="1:10" x14ac:dyDescent="0.25"><c r="A165"><v>162</v></c><c r="B165"><f t="shared" si="2"/>&lt;v&gt;14&lt;/v&gt;&lt;/c&gt;&lt;c r=&quot;C165&quot; s=&quot;37&quot;&gt;&lt;f&gt;IF(A165&gt;&apos;Property Calculator&apos;!$B$70*12,0,IF(AND(&apos;Property Calculator&apos;!$B$72=1,B165&gt;&apos;Property Calculator&apos;!$B$69),&apos;Property Calculator&apos;!$B$73,&apos;Property Calculator&apos;!$B$65))</f><v>3.5000000000000003E-2</v></c><c r="D165" s="72"><f>IF(A165&gt;&apos;Property Calculator&apos;!$B$70*12,0,I164)</f><v>215652.013256304</v></c><c r="E165" s="72"><f>IF(OR(A165&gt;&apos;Property Calculator&apos;!$B$70*12,D165&lt;=0),0,IF(AND(&apos;Property Calculator&apos;!$B$72=1,B165&gt;&apos;Property Calculator&apos;!$B$69),MIN(D165*C165/12+&apos;Property Calculator&apos;!$B$74/12,D165*(1+C165/12)),MIN(&apos;Property Calculator&apos;!$B$67,D165*(1+C165/12))))</f><v>1429.9603560928113</v></c><c r="F165" s="72"><f>IF(OR(A165&gt;&apos;Property Calculator&apos;!$B$70*12,D165&lt;=0),0,D165*C165/12)</f><v>628.98503866422004</v></c><c r="G165" s="72"><f>IF(OR(A165&gt;&apos;Property Calculator&apos;!$B$70*12,D165&lt;=0),0,MAX(0,MIN(D165,E165-F165)))</f><v>800.97531742859121</v></c><c r="H165" s="126"><v>0</v></c><c r="I165" s="72"><f>IF(A165&gt;&apos;Property Calculator&apos;!$B$70*12,0,MAX(0,D165-G165-J165))</f><v>214851.03793887541</v></c><c r="J165" s="72"><f>IF(OR(A165&gt;&apos;Property Calculator&apos;!$B$70*12,D165&lt;=0),0,MIN(H165,MAX(0,D165-G165)))</f><v>0</v></c></row><row r="166" spans="1:10" x14ac:dyDescent="0.25"><c r="A166"><v>163</v></c><c r="B166"><f t="shared" si="2"/>&lt;v&gt;14&lt;/v&gt;&lt;/c&gt;&lt;c r=&quot;C166&quot; s=&quot;37&quot;&gt;&lt;f&gt;IF(A166&gt;&apos;Property Calculator&apos;!$B$70*12,0,IF(AND(&apos;Property Calculator&apos;!$B$72=1,B166&gt;&apos;Property Calculator&apos;!$B$69),&apos;Property Calculator&apos;!$B$73,&apos;Property Calculator&apos;!$B$65))</f><v>3.5000000000000003E-2</v></c><c r="D166" s="72"><f>IF(A166&gt;&apos;Property Calculator&apos;!$B$70*12,0,I165)</f><v>214851.03793887541</v></c><c r="E166" s="72"><f>IF(OR(A166&gt;&apos;Property Calculator&apos;!$B$70*12,D166&lt;=0),0,IF(AND(&apos;Property Calculator&apos;!$B$72=1,B166&gt;&apos;Property Calculator&apos;!$B$69),MIN(D166*C166/12+&apos;Property Calculator&apos;!$B$74/12,D166*(1+C166/12)),MIN(&apos;Property Calculator&apos;!$B$67,D166*(1+C166/12))))</f><v>1429.9603560928113</v></c><c r="F166" s="72"><f>IF(OR(A166&gt;&apos;Property Calculator&apos;!$B$70*12,D166&lt;=0),0,D166*C166/12)</f><v>626.64886065505334</v></c><c r="G166" s="72"><f>IF(OR(A166&gt;&apos;Property Calculator&apos;!$B$70*12,D166&lt;=0),0,MAX(0,MIN(D166,E166-F166)))</f><v>803.31149543775791</v></c><c r="H166" s="126"><v>0</v></c><c r="I166" s="72"><f>IF(A166&gt;&apos;Property Calculator&apos;!$B$70*12,0,MAX(0,D166-G166-J166))</f><v>214047.72644343766</v></c><c r="J166" s="72"><f>IF(OR(A166&gt;&apos;Property Calculator&apos;!$B$70*12,D166&lt;=0),0,MIN(H166,MAX(0,D166-G166)))</f><v>0</v></c></row><row r="167" spans="1:10" x14ac:dyDescent="0.25"><c r="A167"><v>164</v></c><c r="B167"><f t="shared" si="2"/>&lt;v&gt;14&lt;/v&gt;&lt;/c&gt;&lt;c r=&quot;C167&quot; s=&quot;37&quot;&gt;&lt;f&gt;IF(A167&gt;&apos;Property Calculator&apos;!$B$70*12,0,IF(AND(&apos;Property Calculator&apos;!$B$72=1,B167&gt;&apos;Property Calculator&apos;!$B$69),&apos;Property Calculator&apos;!$B$73,&apos;Property Calculator&apos;!$B$65))</f><v>3.5000000000000003E-2</v></c><c r="D167" s="72"><f>IF(A167&gt;&apos;Property Calculator&apos;!$B$70*12,0,I166)</f><v>214047.72644343766</v></c><c r="E167" s="72"><f>IF(OR(A167&gt;&apos;Property Calculator&apos;!$B$70*12,D167&lt;=0),0,IF(AND(&apos;Property Calculator&apos;!$B$72=1,B167&gt;&apos;Property Calculator&apos;!$B$69),MIN(D167*C167/12+&apos;Property Calculator&apos;!$B$74/12,D167*(1+C167/12)),MIN(&apos;Property Calculator&apos;!$B$67,D167*(1+C167/12))))</f><v>1429.9603560928113</v></c><c r="F167" s="72"><f>IF(OR(A167&gt;&apos;Property Calculator&apos;!$B$70*12,D167&lt;=0),0,D167*C167/12)</f><v>624.30586879335988</v></c><c r="G167" s="72"><f>IF(OR(A167&gt;&apos;Property Calculator&apos;!$B$70*12,D167&lt;=0),0,MAX(0,MIN(D167,E167-F167)))</f><v>805.65448729945138</v></c><c r="H167" s="126"><v>0</v></c><c r="I167" s="72"><f>IF(A167&gt;&apos;Property Calculator&apos;!$B$70*12,0,MAX(0,D167-G167-J167))</f><v>213242.07195613821</v></c><c r="J167" s="72"><f>IF(OR(A167&gt;&apos;Property Calculator&apos;!$B$70*12,D167&lt;=0),0,MIN(H167,MAX(0,D167-G167)))</f><v>0</v></c></row><row r="168" spans="1:10" x14ac:dyDescent="0.25"><c r="A168"><v>165</v></c><c r="B168"><f t="shared" si="2"/>&lt;v&gt;14&lt;/v&gt;&lt;/c&gt;&lt;c r=&quot;C168&quot; s=&quot;37&quot;&gt;&lt;f&gt;IF(A168&gt;&apos;Property Calculator&apos;!$B$70*12,0,IF(AND(&apos;Property Calculator&apos;!$B$72=1,B168&gt;&apos;Property Calculator&apos;!$B$69),&apos;Property Calculator&apos;!$B$73,&apos;Property Calculator&apos;!$B$65))</f><v>3.5000000000000003E-2</v></c><c r="D168" s="72"><f>IF(A168&gt;&apos;Property Calculator&apos;!$B$70*12,0,I167)</f><v>213242.07195613821</v></c><c r="E168" s="72"><f>IF(OR(A168&gt;&apos;Property Calculator&apos;!$B$70*12,D168&lt;=0),0,IF(AND(&apos;Property Calculator&apos;!$B$72=1,B168&gt;&apos;Property Calculator&apos;!$B$69),MIN(D168*C168/12+&apos;Property Calculator&apos;!$B$74/12,D168*(1+C168/12)),MIN(&apos;Property Calculator&apos;!$B$67,D168*(1+C168/12))))</f><v>1429.9603560928113</v></c><c r="F168" s="72"><f>IF(OR(A168&gt;&apos;Property Calculator&apos;!$B$70*12,D168&lt;=0),0,D168*C168/12)</f><v>621.95604320540315</v></c><c r="G168" s="72"><f>IF(OR(A168&gt;&apos;Property Calculator&apos;!$B$70*12,D168&lt;=0),0,MAX(0,MIN(D168,E168-F168)))</f><v>808.0043128874081</v></c><c r="H168" s="126"><v>0</v></c><c r="I168" s="72"><f>IF(A168&gt;&apos;Property Calculator&apos;!$B$70*12,0,MAX(0,D168-G168-J168))</f><v>212434.0676432508</v></c><c r="J168" s="72"><f>IF(OR(A168&gt;&apos;Property Calculator&apos;!$B$70*12,D168&lt;=0),0,MIN(H168,MAX(0,D168-G168)))</f><v>0</v></c></row><row r="169" spans="1:10" x14ac:dyDescent="0.25"><c r="A169"><v>166</v></c><c r="B169"><f t="shared" si="2"/>&lt;v&gt;14&lt;/v&gt;&lt;/c&gt;&lt;c r=&quot;C169&quot; s=&quot;37&quot;&gt;&lt;f&gt;IF(A169&gt;&apos;Property Calculator&apos;!$B$70*12,0,IF(AND(&apos;Property Calculator&apos;!$B$72=1,B169&gt;&apos;Property Calculator&apos;!$B$69),&apos;Property Calculator&apos;!$B$73,&apos;Property Calculator&apos;!$B$65))</f><v>3.5000000000000003E-2</v></c><c r="D169" s="72"><f>IF(A169&gt;&apos;Property Calculator&apos;!$B$70*12,0,I168)</f><v>212434.0676432508</v></c><c r="E169" s="72"><f>IF(OR(A169&gt;&apos;Property Calculator&apos;!$B$70*12,D169&lt;=0),0,IF(AND(&apos;Property Calculator&apos;!$B$72=1,B169&gt;&apos;Property Calculator&apos;!$B$69),MIN(D169*C169/12+&apos;Property Calculator&apos;!$B$74/12,D169*(1+C169/12)),MIN(&apos;Property Calculator&apos;!$B$67,D169*(1+C169/12))))</f><v>1429.9603560928113</v></c><c r="F169" s="72"><f>IF(OR(A169&gt;&apos;Property Calculator&apos;!$B$70*12,D169&lt;=0),0,D169*C169/12)</f><v>619.59936395948159</v></c><c r="G169" s="72"><f>IF(OR(A169&gt;&apos;Property Calculator&apos;!$B$70*12,D169&lt;=0),0,MAX(0,MIN(D169,E169-F169)))</f><v>810.36099213332966</v></c><c r="H169" s="126"><v>0</v></c><c r="I169" s="72"><f>IF(A169&gt;&apos;Property Calculator&apos;!$B$70*12,0,MAX(0,D169-G169-J169))</f><v>211623.70665111748</v></c><c r="J169" s="72"><f>IF(OR(A169&gt;&apos;Property Calculator&apos;!$B$70*12,D169&lt;=0),0,MIN(H169,MAX(0,D169-G169)))</f><v>0</v></c></row><row r="170" spans="1:10" x14ac:dyDescent="0.25"><c r="A170"><v>167</v></c><c r="B170"><f t="shared" si="2"/>&lt;v&gt;14&lt;/v&gt;&lt;/c&gt;&lt;c r=&quot;C170&quot; s=&quot;37&quot;&gt;&lt;f&gt;IF(A170&gt;&apos;Property Calculator&apos;!$B$70*12,0,IF(AND(&apos;Property Calculator&apos;!$B$72=1,B170&gt;&apos;Property Calculator&apos;!$B$69),&apos;Property Calculator&apos;!$B$73,&apos;Property Calculator&apos;!$B$65))</f><v>3.5000000000000003E-2</v></c><c r="D170" s="72"><f>IF(A170&gt;&apos;Property Calculator&apos;!$B$70*12,0,I169)</f><v>211623.70665111748</v></c><c r="E170" s="72"><f>IF(OR(A170&gt;&apos;Property Calculator&apos;!$B$70*12,D170&lt;=0),0,IF(AND(&apos;Property Calculator&apos;!$B$72=1,B170&gt;&apos;Property Calculator&apos;!$B$69),MIN(D170*C170/12+&apos;Property Calculator&apos;!$B$74/12,D170*(1+C170/12)),MIN(&apos;Property Calculator&apos;!$B$67,D170*(1+C170/12))))</f><v>1429.9603560928113</v></c><c r="F170" s="72"><f>IF(OR(A170&gt;&apos;Property Calculator&apos;!$B$70*12,D170&lt;=0),0,D170*C170/12)</f><v>617.23581106575932</v></c><c r="G170" s="72"><f>IF(OR(A170&gt;&apos;Property Calculator&apos;!$B$70*12,D170&lt;=0),0,MAX(0,MIN(D170,E170-F170)))</f><v>812.72454502705193</v></c><c r="H170" s="126"><v>0</v></c><c r="I170" s="72"><f>IF(A170&gt;&apos;Property Calculator&apos;!$B$70*12,0,MAX(0,D170-G170-J170))</f><v>210810.98210609044</v></c><c r="J170" s="72"><f>IF(OR(A170&gt;&apos;Property Calculator&apos;!$B$70*12,D170&lt;=0),0,MIN(H170,MAX(0,D170-G170)))</f><v>0</v></c></row><row r="171" spans="1:10" x14ac:dyDescent="0.25"><c r="A171"><v>168</v></c><c r="B171"><f t="shared" si="2"/>&lt;v&gt;14&lt;/v&gt;&lt;/c&gt;&lt;c r=&quot;C171&quot; s=&quot;37&quot;&gt;&lt;f&gt;IF(A171&gt;&apos;Property Calculator&apos;!$B$70*12,0,IF(AND(&apos;Property Calculator&apos;!$B$72=1,B171&gt;&apos;Property Calculator&apos;!$B$69),&apos;Property Calculator&apos;!$B$73,&apos;Property Calculator&apos;!$B$65))</f><v>3.5000000000000003E-2</v></c><c r="D171" s="72"><f>IF(A171&gt;&apos;Property Calculator&apos;!$B$70*12,0,I170)</f><v>210810.98210609044</v></c><c r="E171" s="72"><f>IF(OR(A171&gt;&apos;Property Calculator&apos;!$B$70*12,D171&lt;=0),0,IF(AND(&apos;Property Calculator&apos;!$B$72=1,B171&gt;&apos;Property Calculator&apos;!$B$69),MIN(D171*C171/12+&apos;Property Calculator&apos;!$B$74/12,D171*(1+C171/12)),MIN(&apos;Property Calculator&apos;!$B$67,D171*(1+C171/12))))</f><v>1429.9603560928113</v></c><c r="F171" s="72"><f>IF(OR(A171&gt;&apos;Property Calculator&apos;!$B$70*12,D171&lt;=0),0,D171*C171/12)</f><v>614.86536447609717</v></c><c r="G171" s="72"><f>IF(OR(A171&gt;&apos;Property Calculator&apos;!$B$70*12,D171&lt;=0),0,MAX(0,MIN(D171,E171-F171)))</f><v>815.09499161671408</v></c><c r="H171" s="126"><v>0</v></c><c r="I171" s="72"><f>IF(A171&gt;&apos;Property Calculator&apos;!$B$70*12,0,MAX(0,D171-G171-J171))</f><v>209995.88711447373</v></c><c r="J171" s="72"><f>IF(OR(A171&gt;&apos;Property Calculator&apos;!$B$70*12,D171&lt;=0),0,MIN(H171,MAX(0,D171-G171)))</f><v>0</v></c></row><row r="172" spans="1:10" x14ac:dyDescent="0.25"><c r="A172"><v>169</v></c><c r="B172"><f t="shared" si="2"/>&lt;v&gt;15&lt;/v&gt;&lt;/c&gt;&lt;c r=&quot;C172&quot; s=&quot;37&quot;&gt;&lt;f&gt;IF(A172&gt;&apos;Property Calculator&apos;!$B$70*12,0,IF(AND(&apos;Property Calculator&apos;!$B$72=1,B172&gt;&apos;Property Calculator&apos;!$B$69),&apos;Property Calculator&apos;!$B$73,&apos;Property Calculator&apos;!$B$65))</f><v>3.5000000000000003E-2</v></c><c r="D172" s="72"><f>IF(A172&gt;&apos;Property Calculator&apos;!$B$70*12,0,I171)</f><v>209995.88711447373</v></c><c r="E172" s="72"><f>IF(OR(A172&gt;&apos;Property Calculator&apos;!$B$70*12,D172&lt;=0),0,IF(AND(&apos;Property Calculator&apos;!$B$72=1,B172&gt;&apos;Property Calculator&apos;!$B$69),MIN(D172*C172/12+&apos;Property Calculator&apos;!$B$74/12,D172*(1+C172/12)),MIN(&apos;Property Calculator&apos;!$B$67,D172*(1+C172/12))))</f><v>1429.9603560928113</v></c><c r="F172" s="72"><f>IF(OR(A172&gt;&apos;Property Calculator&apos;!$B$70*12,D172&lt;=0),0,D172*C172/12)</f><v>612.48800408388172</v></c><c r="G172" s="72"><f>IF(OR(A172&gt;&apos;Property Calculator&apos;!$B$70*12,D172&lt;=0),0,MAX(0,MIN(D172,E172-F172)))</f><v>817.47235200892953</v></c><c r="H172" s="126"><v>0</v></c><c r="I172" s="72"><f>IF(A172&gt;&apos;Property Calculator&apos;!$B$70*12,0,MAX(0,D172-G172-J172))</f><v>209178.41476246482</v></c><c r="J172" s="72"><f>IF(OR(A172&gt;&apos;Property Calculator&apos;!$B$70*12,D172&lt;=0),0,MIN(H172,MAX(0,D172-G172)))</f><v>0</v></c></row><row r="173" spans="1:10" x14ac:dyDescent="0.25"><c r="A173"><v>170</v></c><c r="B173"><f t="shared" si="2"/>&lt;v&gt;15&lt;/v&gt;&lt;/c&gt;&lt;c r=&quot;C173&quot; s=&quot;37&quot;&gt;&lt;f&gt;IF(A173&gt;&apos;Property Calculator&apos;!$B$70*12,0,IF(AND(&apos;Property Calculator&apos;!$B$72=1,B173&gt;&apos;Property Calculator&apos;!$B$69),&apos;Property Calculator&apos;!$B$73,&apos;Property Calculator&apos;!$B$65))</f><v>3.5000000000000003E-2</v></c><c r="D173" s="72"><f>IF(A173&gt;&apos;Property Calculator&apos;!$B$70*12,0,I172)</f><v>209178.41476246482</v></c><c r="E173" s="72"><f>IF(OR(A173&gt;&apos;Property Calculator&apos;!$B$70*12,D173&lt;=0),0,IF(AND(&apos;Property Calculator&apos;!$B$72=1,B173&gt;&apos;Property Calculator&apos;!$B$69),MIN(D173*C173/12+&apos;Property Calculator&apos;!$B$74/12,D173*(1+C173/12)),MIN(&apos;Property Calculator&apos;!$B$67,D173*(1+C173/12))))</f><v>1429.9603560928113</v></c><c r="F173" s="72"><f>IF(OR(A173&gt;&apos;Property Calculator&apos;!$B$70*12,D173&lt;=0),0,D173*C173/12)</f><v>610.10370972385579</v></c><c r="G173" s="72"><f>IF(OR(A173&gt;&apos;Property Calculator&apos;!$B$70*12,D173&lt;=0),0,MAX(0,MIN(D173,E173-F173)))</f><v>819.85664636895547</v></c><c r="H173" s="126"><v>0</v></c><c r="I173" s="72"><f>IF(A173&gt;&apos;Property Calculator&apos;!$B$70*12,0,MAX(0,D173-G173-J173))</f><v>208358.55811609587</v></c><c r="J173" s="72"><f>IF(OR(A173&gt;&apos;Property Calculator&apos;!$B$70*12,D173&lt;=0),0,MIN(H173,MAX(0,D173-G173)))</f><v>0</v></c></row><row r="174" spans="1:10" x14ac:dyDescent="0.25"><c r="A174"><v>171</v></c><c r="B174"><f t="shared" si="2"/>&lt;v&gt;15&lt;/v&gt;&lt;/c&gt;&lt;c r=&quot;C174&quot; s=&quot;37&quot;&gt;&lt;f&gt;IF(A174&gt;&apos;Property Calculator&apos;!$B$70*12,0,IF(AND(&apos;Property Calculator&apos;!$B$72=1,B174&gt;&apos;Property Calculator&apos;!$B$69),&apos;Property Calculator&apos;!$B$73,&apos;Property Calculator&apos;!$B$65))</f><v>3.5000000000000003E-2</v></c><c r="D174" s="72"><f>IF(A174&gt;&apos;Property Calculator&apos;!$B$70*12,0,I173)</f><v>208358.55811609587</v></c><c r="E174" s="72"><f>IF(OR(A174&gt;&apos;Property Calculator&apos;!$B$70*12,D174&lt;=0),0,IF(AND(&apos;Property Calculator&apos;!$B$72=1,B174&gt;&apos;Property Calculator&apos;!$B$69),MIN(D174*C174/12+&apos;Property Calculator&apos;!$B$74/12,D174*(1+C174/12)),MIN(&apos;Property Calculator&apos;!$B$67,D174*(1+C174/12))))</f><v>1429.9603560928113</v></c><c r="F174" s="72"><f>IF(OR(A174&gt;&apos;Property Calculator&apos;!$B$70*12,D174&lt;=0),0,D174*C174/12)</f><v>607.7124611719463</v></c><c r="G174" s="72"><f>IF(OR(A174&gt;&apos;Property Calculator&apos;!$B$70*12,D174&lt;=0),0,MAX(0,MIN(D174,E174-F174)))</f><v>822.24789492086495</v></c><c r="H174" s="126"><v>0</v></c><c r="I174" s="72"><f>IF(A174&gt;&apos;Property Calculator&apos;!$B$70*12,0,MAX(0,D174-G174-J174))</f><v>207536.31022117499</v></c><c r="J174" s="72"><f>IF(OR(A174&gt;&apos;Property Calculator&apos;!$B$70*12,D174&lt;=0),0,MIN(H174,MAX(0,D174-G174)))</f><v>0</v></c></row><row r="175" spans="1:10" x14ac:dyDescent="0.25"><c r="A175"><v>172</v></c><c r="B175"><f t="shared" si="2"/>&lt;v&gt;15&lt;/v&gt;&lt;/c&gt;&lt;c r=&quot;C175&quot; s=&quot;37&quot;&gt;&lt;f&gt;IF(A175&gt;&apos;Property Calculator&apos;!$B$70*12,0,IF(AND(&apos;Property Calculator&apos;!$B$72=1,B175&gt;&apos;Property Calculator&apos;!$B$69),&apos;Property Calculator&apos;!$B$73,&apos;Property Calculator&apos;!$B$65))</f><v>3.5000000000000003E-2</v></c><c r="D175" s="72"><f>IF(A175&gt;&apos;Property Calculator&apos;!$B$70*12,0,I174)</f><v>207536.31022117499</v></c><c r="E175" s="72"><f>IF(OR(A175&gt;&apos;Property Calculator&apos;!$B$70*12,D175&lt;=0),0,IF(AND(&apos;Property Calculator&apos;!$B$72=1,B175&gt;&apos;Property Calculator&apos;!$B$69),MIN(D175*C175/12+&apos;Property Calculator&apos;!$B$74/12,D175*(1+C175/12)),MIN(&apos;Property Calculator&apos;!$B$67,D175*(1+C175/12))))</f><v>1429.9603560928113</v></c><c r="F175" s="72"><f>IF(OR(A175&gt;&apos;Property Calculator&apos;!$B$70*12,D175&lt;=0),0,D175*C175/12)</f><v>605.31423814509378</v></c><c r="G175" s="72"><f>IF(OR(A175&gt;&apos;Property Calculator&apos;!$B$70*12,D175&lt;=0),0,MAX(0,MIN(D175,E175-F175)))</f><v>824.64611794771747</v></c><c r="H175" s="126"><v>0</v></c><c r="I175" s="72"><f>IF(A175&gt;&apos;Property Calculator&apos;!$B$70*12,0,MAX(0,D175-G175-J175))</f><v>206711.66410322729</v></c><c r="J175" s="72"><f>IF(OR(A175&gt;&apos;Property Calculator&apos;!$B$70*12,D175&lt;=0),0,MIN(H175,MAX(0,D175-G175)))</f><v>0</v></c></row><row r="176" spans="1:10" x14ac:dyDescent="0.25"><c r="A176"><v>173</v></c><c r="B176"><f t="shared" si="2"/>&lt;v&gt;15&lt;/v&gt;&lt;/c&gt;&lt;c r=&quot;C176&quot; s=&quot;37&quot;&gt;&lt;f&gt;IF(A176&gt;&apos;Property Calculator&apos;!$B$70*12,0,IF(AND(&apos;Property Calculator&apos;!$B$72=1,B176&gt;&apos;Property Calculator&apos;!$B$69),&apos;Property Calculator&apos;!$B$73,&apos;Property Calculator&apos;!$B$65))</f><v>3.5000000000000003E-2</v></c><c r="D176" s="72"><f>IF(A176&gt;&apos;Property Calculator&apos;!$B$70*12,0,I175)</f><v>206711.66410322729</v></c><c r="E176" s="72"><f>IF(OR(A176&gt;&apos;Property Calculator&apos;!$B$70*12,D176&lt;=0),0,IF(AND(&apos;Property Calculator&apos;!$B$72=1,B176&gt;&apos;Property Calculator&apos;!$B$69),MIN(D176*C176/12+&apos;Property Calculator&apos;!$B$74/12,D176*(1+C176/12)),MIN(&apos;Property Calculator&apos;!$B$67,D176*(1+C176/12))))</f><v>1429.9603560928113</v></c><c r="F176" s="72"><f>IF(OR(A176&gt;&apos;Property Calculator&apos;!$B$70*12,D176&lt;=0),0,D176*C176/12)</f><v>602.90902030107964</v></c><c r="G176" s="72"><f>IF(OR(A176&gt;&apos;Property Calculator&apos;!$B$70*12,D176&lt;=0),0,MAX(0,MIN(D176,E176-F176)))</f><v>827.05133579173162</v></c><c r="H176" s="126"><v>0</v></c><c r="I176" s="72"><f>IF(A176&gt;&apos;Property Calculator&apos;!$B$70*12,0,MAX(0,D176-G176-J176))</f><v>205884.61276743555</v></c><c r="J176" s="72"><f>IF(OR(A176&gt;&apos;Property Calculator&apos;!$B$70*12,D176&lt;=0),0,MIN(H176,MAX(0,D176-G176)))</f><v>0</v></c></row><row r="177" spans="1:10" x14ac:dyDescent="0.25"><c r="A177"><v>174</v></c><c r="B177"><f t="shared" si="2"/>&lt;v&gt;15&lt;/v&gt;&lt;/c&gt;&lt;c r=&quot;C177&quot; s=&quot;37&quot;&gt;&lt;f&gt;IF(A177&gt;&apos;Property Calculator&apos;!$B$70*12,0,IF(AND(&apos;Property Calculator&apos;!$B$72=1,B177&gt;&apos;Property Calculator&apos;!$B$69),&apos;Property Calculator&apos;!$B$73,&apos;Property Calculator&apos;!$B$65))</f><v>3.5000000000000003E-2</v></c><c r="D177" s="72"><f>IF(A177&gt;&apos;Property Calculator&apos;!$B$70*12,0,I176)</f><v>205884.61276743555</v></c><c r="E177" s="72"><f>IF(OR(A177&gt;&apos;Property Calculator&apos;!$B$70*12,D177&lt;=0),0,IF(AND(&apos;Property Calculator&apos;!$B$72=1,B177&gt;&apos;Property Calculator&apos;!$B$69),MIN(D177*C177/12+&apos;Property Calculator&apos;!$B$74/12,D177*(1+C177/12)),MIN(&apos;Property Calculator&apos;!$B$67,D177*(1+C177/12))))</f><v>1429.9603560928113</v></c><c r="F177" s="72"><f>IF(OR(A177&gt;&apos;Property Calculator&apos;!$B$70*12,D177&lt;=0),0,D177*C177/12)</f><v>600.4967872383537</v></c><c r="G177" s="72"><f>IF(OR(A177&gt;&apos;Property Calculator&apos;!$B$70*12,D177&lt;=0),0,MAX(0,MIN(D177,E177-F177)))</f><v>829.46356885445755</v></c><c r="H177" s="126"><v>0</v></c><c r="I177" s="72"><f>IF(A177&gt;&apos;Property Calculator&apos;!$B$70*12,0,MAX(0,D177-G177-J177))</f><v>205055.14919858109</v></c><c r="J177" s="72"><f>IF(OR(A177&gt;&apos;Property Calculator&apos;!$B$70*12,D177&lt;=0),0,MIN(H177,MAX(0,D177-G177)))</f><v>0</v></c></row><row r="178" spans="1:10" x14ac:dyDescent="0.25"><c r="A178"><v>175</v></c><c r="B178"><f t="shared" si="2"/>&lt;v&gt;15&lt;/v&gt;&lt;/c&gt;&lt;c r=&quot;C178&quot; s=&quot;37&quot;&gt;&lt;f&gt;IF(A178&gt;&apos;Property Calculator&apos;!$B$70*12,0,IF(AND(&apos;Property Calculator&apos;!$B$72=1,B178&gt;&apos;Property Calculator&apos;!$B$69),&apos;Property Calculator&apos;!$B$73,&apos;Property Calculator&apos;!$B$65))</f><v>3.5000000000000003E-2</v></c><c r="D178" s="72"><f>IF(A178&gt;&apos;Property Calculator&apos;!$B$70*12,0,I177)</f><v>205055.14919858109</v></c><c r="E178" s="72"><f>IF(OR(A178&gt;&apos;Property Calculator&apos;!$B$70*12,D178&lt;=0),0,IF(AND(&apos;Property Calculator&apos;!$B$72=1,B178&gt;&apos;Property Calculator&apos;!$B$69),MIN(D178*C178/12+&apos;Property Calculator&apos;!$B$74/12,D178*(1+C178/12)),MIN(&apos;Property Calculator&apos;!$B$67,D178*(1+C178/12))))</f><v>1429.9603560928113</v></c><c r="F178" s="72"><f>IF(OR(A178&gt;&apos;Property Calculator&apos;!$B$70*12,D178&lt;=0),0,D178*C178/12)</f><v>598.07751849586157</v></c><c r="G178" s="72"><f>IF(OR(A178&gt;&apos;Property Calculator&apos;!$B$70*12,D178&lt;=0),0,MAX(0,MIN(D178,E178-F178)))</f><v>831.88283759694968</v></c><c r="H178" s="126"><v>0</v></c><c r="I178" s="72"><f>IF(A178&gt;&apos;Property Calculator&apos;!$B$70*12,0,MAX(0,D178-G178-J178))</f><v>204223.26636098413</v></c><c r="J178" s="72"><f>IF(OR(A178&gt;&apos;Property Calculator&apos;!$B$70*12,D178&lt;=0),0,MIN(H178,MAX(0,D178-G178)))</f><v>0</v></c></row><row r="179" spans="1:10" x14ac:dyDescent="0.25"><c r="A179"><v>176</v></c><c r="B179"><f t="shared" si="2"/>&lt;v&gt;15&lt;/v&gt;&lt;/c&gt;&lt;c r=&quot;C179&quot; s=&quot;37&quot;&gt;&lt;f&gt;IF(A179&gt;&apos;Property Calculator&apos;!$B$70*12,0,IF(AND(&apos;Property Calculator&apos;!$B$72=1,B179&gt;&apos;Property Calculator&apos;!$B$69),&apos;Property Calculator&apos;!$B$73,&apos;Property Calculator&apos;!$B$65))</f><v>3.5000000000000003E-2</v></c><c r="D179" s="72"><f>IF(A179&gt;&apos;Property Calculator&apos;!$B$70*12,0,I178)</f><v>204223.26636098413</v></c><c r="E179" s="72"><f>IF(OR(A179&gt;&apos;Property Calculator&apos;!$B$70*12,D179&lt;=0),0,IF(AND(&apos;Property Calculator&apos;!$B$72=1,B179&gt;&apos;Property Calculator&apos;!$B$69),MIN(D179*C179/12+&apos;Property Calculator&apos;!$B$74/12,D179*(1+C179/12)),MIN(&apos;Property Calculator&apos;!$B$67,D179*(1+C179/12))))</f><v>1429.9603560928113</v></c><c r="F179" s="72"><f>IF(OR(A179&gt;&apos;Property Calculator&apos;!$B$70*12,D179&lt;=0),0,D179*C179/12)</f><v>595.6511935528705</v></c><c r="G179" s="72"><f>IF(OR(A179&gt;&apos;Property Calculator&apos;!$B$70*12,D179&lt;=0),0,MAX(0,MIN(D179,E179-F179)))</f><v>834.30916253994076</v></c><c r="H179" s="126"><v>0</v></c><c r="I179" s="72"><f>IF(A179&gt;&apos;Property Calculator&apos;!$B$70*12,0,MAX(0,D179-G179-J179))</f><v>203388.95719844417</v></c><c r="J179" s="72"><f>IF(OR(A179&gt;&apos;Property Calculator&apos;!$B$70*12,D179&lt;=0),0,MIN(H179,MAX(0,D179-G179)))</f><v>0</v></c></row><row r="180" spans="1:10" x14ac:dyDescent="0.25"><c r="A180"><v>177</v></c><c r="B180"><f t="shared" si="2"/>&lt;v&gt;15&lt;/v&gt;&lt;/c&gt;&lt;c r=&quot;C180&quot; s=&quot;37&quot;&gt;&lt;f&gt;IF(A180&gt;&apos;Property Calculator&apos;!$B$70*12,0,IF(AND(&apos;Property Calculator&apos;!$B$72=1,B180&gt;&apos;Property Calculator&apos;!$B$69),&apos;Property Calculator&apos;!$B$73,&apos;Property Calculator&apos;!$B$65))</f><v>3.5000000000000003E-2</v></c><c r="D180" s="72"><f>IF(A180&gt;&apos;Property Calculator&apos;!$B$70*12,0,I179)</f><v>203388.95719844417</v></c><c r="E180" s="72"><f>IF(OR(A180&gt;&apos;Property Calculator&apos;!$B$70*12,D180&lt;=0),0,IF(AND(&apos;Property Calculator&apos;!$B$72=1,B180&gt;&apos;Property Calculator&apos;!$B$69),MIN(D180*C180/12+&apos;Property Calculator&apos;!$B$74/12,D180*(1+C180/12)),MIN(&apos;Property Calculator&apos;!$B$67,D180*(1+C180/12))))</f><v>1429.9603560928113</v></c><c r="F180" s="72"><f>IF(OR(A180&gt;&apos;Property Calculator&apos;!$B$70*12,D180&lt;=0),0,D180*C180/12)</f><v>593.21779182879561</v></c><c r="G180" s="72"><f>IF(OR(A180&gt;&apos;Property Calculator&apos;!$B$70*12,D180&lt;=0),0,MAX(0,MIN(D180,E180-F180)))</f><v>836.74256426401564</v></c><c r="H180" s="126"><v>0</v></c><c r="I180" s="72"><f>IF(A180&gt;&apos;Property Calculator&apos;!$B$70*12,0,MAX(0,D180-G180-J180))</f><v>202552.21463418016</v></c><c r="J180" s="72"><f>IF(OR(A180&gt;&apos;Property Calculator&apos;!$B$70*12,D180&lt;=0),0,MIN(H180,MAX(0,D180-G180)))</f><v>0</v></c></row><row r="181" spans="1:10" x14ac:dyDescent="0.25"><c r="A181"><v>178</v></c><c r="B181"><f t="shared" si="2"/>&lt;v&gt;15&lt;/v&gt;&lt;/c&gt;&lt;c r=&quot;C181&quot; s=&quot;37&quot;&gt;&lt;f&gt;IF(A181&gt;&apos;Property Calculator&apos;!$B$70*12,0,IF(AND(&apos;Property Calculator&apos;!$B$72=1,B181&gt;&apos;Property Calculator&apos;!$B$69),&apos;Property Calculator&apos;!$B$73,&apos;Property Calculator&apos;!$B$65))</f><v>3.5000000000000003E-2</v></c><c r="D181" s="72"><f>IF(A181&gt;&apos;Property Calculator&apos;!$B$70*12,0,I180)</f><v>202552.21463418016</v></c><c r="E181" s="72"><f>IF(OR(A181&gt;&apos;Property Calculator&apos;!$B$70*12,D181&lt;=0),0,IF(AND(&apos;Property Calculator&apos;!$B$72=1,B181&gt;&apos;Property Calculator&apos;!$B$69),MIN(D181*C181/12+&apos;Property Calculator&apos;!$B$74/12,D181*(1+C181/12)),MIN(&apos;Property Calculator&apos;!$B$67,D181*(1+C181/12))))</f><v>1429.9603560928113</v></c><c r="F181" s="72"><f>IF(OR(A181&gt;&apos;Property Calculator&apos;!$B$70*12,D181&lt;=0),0,D181*C181/12)</f><v>590.77729268302551</v></c><c r="G181" s="72"><f>IF(OR(A181&gt;&apos;Property Calculator&apos;!$B$70*12,D181&lt;=0),0,MAX(0,MIN(D181,E181-F181)))</f><v>839.18306340978575</v></c><c r="H181" s="126"><v>0</v></c><c r="I181" s="72"><f>IF(A181&gt;&apos;Property Calculator&apos;!$B$70*12,0,MAX(0,D181-G181-J181))</f><v>201713.03157077037</v></c><c r="J181" s="72"><f>IF(OR(A181&gt;&apos;Property Calculator&apos;!$B$70*12,D181&lt;=0),0,MIN(H181,MAX(0,D181-G181)))</f><v>0</v></c></row><row r="182" spans="1:10" x14ac:dyDescent="0.25"><c r="A182"><v>179</v></c><c r="B182"><f t="shared" si="2"/>&lt;v&gt;15&lt;/v&gt;&lt;/c&gt;&lt;c r=&quot;C182&quot; s=&quot;37&quot;&gt;&lt;f&gt;IF(A182&gt;&apos;Property Calculator&apos;!$B$70*12,0,IF(AND(&apos;Property Calculator&apos;!$B$72=1,B182&gt;&apos;Property Calculator&apos;!$B$69),&apos;Property Calculator&apos;!$B$73,&apos;Property Calculator&apos;!$B$65))</f><v>3.5000000000000003E-2</v></c><c r="D182" s="72"><f>IF(A182&gt;&apos;Property Calculator&apos;!$B$70*12,0,I181)</f><v>201713.03157077037</v></c><c r="E182" s="72"><f>IF(OR(A182&gt;&apos;Property Calculator&apos;!$B$70*12,D182&lt;=0),0,IF(AND(&apos;Property Calculator&apos;!$B$72=1,B182&gt;&apos;Property Calculator&apos;!$B$69),MIN(D182*C182/12+&apos;Property Calculator&apos;!$B$74/12,D182*(1+C182/12)),MIN(&apos;Property Calculator&apos;!$B$67,D182*(1+C182/12))))</f><v>1429.9603560928113</v></c><c r="F182" s="72"><f>IF(OR(A182&gt;&apos;Property Calculator&apos;!$B$70*12,D182&lt;=0),0,D182*C182/12)</f><v>588.32967541474693</v></c><c r="G182" s="72"><f>IF(OR(A182&gt;&apos;Property Calculator&apos;!$B$70*12,D182&lt;=0),0,MAX(0,MIN(D182,E182-F182)))</f><v>841.63068067806432</v></c><c r="H182" s="126"><v>0</v></c><c r="I182" s="72"><f>IF(A182&gt;&apos;Property Calculator&apos;!$B$70*12,0,MAX(0,D182-G182-J182))</f><v>200871.40089009231</v></c><c r="J182" s="72"><f>IF(OR(A182&gt;&apos;Property Calculator&apos;!$B$70*12,D182&lt;=0),0,MIN(H182,MAX(0,D182-G182)))</f><v>0</v></c></row><row r="183" spans="1:10" x14ac:dyDescent="0.25"><c r="A183"><v>180</v></c><c r="B183"><f t="shared" si="2"/>&lt;v&gt;15&lt;/v&gt;&lt;/c&gt;&lt;c r=&quot;C183&quot; s=&quot;37&quot;&gt;&lt;f&gt;IF(A183&gt;&apos;Property Calculator&apos;!$B$70*12,0,IF(AND(&apos;Property Calculator&apos;!$B$72=1,B183&gt;&apos;Property Calculator&apos;!$B$69),&apos;Property Calculator&apos;!$B$73,&apos;Property Calculator&apos;!$B$65))</f><v>3.5000000000000003E-2</v></c><c r="D183" s="72"><f>IF(A183&gt;&apos;Property Calculator&apos;!$B$70*12,0,I182)</f><v>200871.40089009231</v></c><c r="E183" s="72"><f>IF(OR(A183&gt;&apos;Property Calculator&apos;!$B$70*12,D183&lt;=0),0,IF(AND(&apos;Property Calculator&apos;!$B$72=1,B183&gt;&apos;Property Calculator&apos;!$B$69),MIN(D183*C183/12+&apos;Property Calculator&apos;!$B$74/12,D183*(1+C183/12)),MIN(&apos;Property Calculator&apos;!$B$67,D183*(1+C183/12))))</f><v>1429.9603560928113</v></c><c r="F183" s="72"><f>IF(OR(A183&gt;&apos;Property Calculator&apos;!$B$70*12,D183&lt;=0),0,D183*C183/12)</f><v>585.87491926276925</v></c><c r="G183" s="72"><f>IF(OR(A183&gt;&apos;Property Calculator&apos;!$B$70*12,D183&lt;=0),0,MAX(0,MIN(D183,E183-F183)))</f><v>844.085436830042</v></c><c r="H183" s="126"><v>0</v></c><c r="I183" s="72"><f>IF(A183&gt;&apos;Property Calculator&apos;!$B$70*12,0,MAX(0,D183-G183-J183))</f><v>200027.31545326227</v></c><c r="J183" s="72"><f>IF(OR(A183&gt;&apos;Property Calculator&apos;!$B$70*12,D183&lt;=0),0,MIN(H183,MAX(0,D183-G183)))</f><v>0</v></c></row><row r="184" spans="1:10" x14ac:dyDescent="0.25"><c r="A184"><v>181</v></c><c r="B184"><f t="shared" si="2"/>&lt;v&gt;16&lt;/v&gt;&lt;/c&gt;&lt;c r=&quot;C184&quot; s=&quot;37&quot;&gt;&lt;f&gt;IF(A184&gt;&apos;Property Calculator&apos;!$B$70*12,0,IF(AND(&apos;Property Calculator&apos;!$B$72=1,B184&gt;&apos;Property Calculator&apos;!$B$69),&apos;Property Calculator&apos;!$B$73,&apos;Property Calculator&apos;!$B$65))</f><v>3.5000000000000003E-2</v></c><c r="D184" s="72"><f>IF(A184&gt;&apos;Property Calculator&apos;!$B$70*12,0,I183)</f><v>200027.31545326227</v></c><c r="E184" s="72"><f>IF(OR(A184&gt;&apos;Property Calculator&apos;!$B$70*12,D184&lt;=0),0,IF(AND(&apos;Property Calculator&apos;!$B$72=1,B184&gt;&apos;Property Calculator&apos;!$B$69),MIN(D184*C184/12+&apos;Property Calculator&apos;!$B$74/12,D184*(1+C184/12)),MIN(&apos;Property Calculator&apos;!$B$67,D184*(1+C184/12))))</f><v>1429.9603560928113</v></c><c r="F184" s="72"><f>IF(OR(A184&gt;&apos;Property Calculator&apos;!$B$70*12,D184&lt;=0),0,D184*C184/12)</f><v>583.41300340534838</v></c><c r="G184" s="72"><f>IF(OR(A184&gt;&apos;Property Calculator&apos;!$B$70*12,D184&lt;=0),0,MAX(0,MIN(D184,E184-F184)))</f><v>846.54735268746288</v></c><c r="H184" s="126"><v>0</v></c><c r="I184" s="72"><f>IF(A184&gt;&apos;Property Calculator&apos;!$B$70*12,0,MAX(0,D184-G184-J184))</f><v>199180.76810057482</v></c><c r="J184" s="72"><f>IF(OR(A184&gt;&apos;Property Calculator&apos;!$B$70*12,D184&lt;=0),0,MIN(H184,MAX(0,D184-G184)))</f><v>0</v></c></row><row r="185" spans="1:10" x14ac:dyDescent="0.25"><c r="A185"><v>182</v></c><c r="B185"><f t="shared" si="2"/>&lt;v&gt;16&lt;/v&gt;&lt;/c&gt;&lt;c r=&quot;C185&quot; s=&quot;37&quot;&gt;&lt;f&gt;IF(A185&gt;&apos;Property Calculator&apos;!$B$70*12,0,IF(AND(&apos;Property Calculator&apos;!$B$72=1,B185&gt;&apos;Property Calculator&apos;!$B$69),&apos;Property Calculator&apos;!$B$73,&apos;Property Calculator&apos;!$B$65))</f><v>3.5000000000000003E-2</v></c><c r="D185" s="72"><f>IF(A185&gt;&apos;Property Calculator&apos;!$B$70*12,0,I184)</f><v>199180.76810057482</v></c><c r="E185" s="72"><f>IF(OR(A185&gt;&apos;Property Calculator&apos;!$B$70*12,D185&lt;=0),0,IF(AND(&apos;Property Calculator&apos;!$B$72=1,B185&gt;&apos;Property Calculator&apos;!$B$69),MIN(D185*C185/12+&apos;Property Calculator&apos;!$B$74/12,D185*(1+C185/12)),MIN(&apos;Property Calculator&apos;!$B$67,D185*(1+C185/12))))</f><v>1429.9603560928113</v></c><c r="F185" s="72"><f>IF(OR(A185&gt;&apos;Property Calculator&apos;!$B$70*12,D185&lt;=0),0,D185*C185/12)</f><v>580.94390696000994</v></c><c r="G185" s="72"><f>IF(OR(A185&gt;&apos;Property Calculator&apos;!$B$70*12,D185&lt;=0),0,MAX(0,MIN(D185,E185-F185)))</f><v>849.01644913280131</v></c><c r="H185" s="126"><v>0</v></c><c r="I185" s="72"><f>IF(A185&gt;&apos;Property Calculator&apos;!$B$70*12,0,MAX(0,D185-G185-J185))</f><v>198331.75165144203</v></c><c r="J185" s="72"><f>IF(OR(A185&gt;&apos;Property Calculator&apos;!$B$70*12,D185&lt;=0),0,MIN(H185,MAX(0,D185-G185)))</f><v>0</v></c></row><row r="186" spans="1:10" x14ac:dyDescent="0.25"><c r="A186"><v>183</v></c><c r="B186"><f t="shared" si="2"/>&lt;v&gt;16&lt;/v&gt;&lt;/c&gt;&lt;c r=&quot;C186&quot; s=&quot;37&quot;&gt;&lt;f&gt;IF(A186&gt;&apos;Property Calculator&apos;!$B$70*12,0,IF(AND(&apos;Property Calculator&apos;!$B$72=1,B186&gt;&apos;Property Calculator&apos;!$B$69),&apos;Property Calculator&apos;!$B$73,&apos;Property Calculator&apos;!$B$65))</f><v>3.5000000000000003E-2</v></c><c r="D186" s="72"><f>IF(A186&gt;&apos;Property Calculator&apos;!$B$70*12,0,I185)</f><v>198331.75165144203</v></c><c r="E186" s="72"><f>IF(OR(A186&gt;&apos;Property Calculator&apos;!$B$70*12,D186&lt;=0),0,IF(AND(&apos;Property Calculator&apos;!$B$72=1,B186&gt;&apos;Property Calculator&apos;!$B$69),MIN(D186*C186/12+&apos;Property Calculator&apos;!$B$74/12,D186*(1+C186/12)),MIN(&apos;Property Calculator&apos;!$B$67,D186*(1+C186/12))))</f><v>1429.9603560928113</v></c><c r="F186" s="72"><f>IF(OR(A186&gt;&apos;Property Calculator&apos;!$B$70*12,D186&lt;=0),0,D186*C186/12)</f><v>578.46760898337266</v></c><c r="G186" s="72"><f>IF(OR(A186&gt;&apos;Property Calculator&apos;!$B$70*12,D186&lt;=0),0,MAX(0,MIN(D186,E186-F186)))</f><v>851.4927471094386</v></c><c r="H186" s="126"><v>0</v></c><c r="I186" s="72"><f>IF(A186&gt;&apos;Property Calculator&apos;!$B$70*12,0,MAX(0,D186-G186-J186))</f><v>197480.25890433259</v></c><c r="J186" s="72"><f>IF(OR(A186&gt;&apos;Property Calculator&apos;!$B$70*12,D186&lt;=0),0,MIN(H186,MAX(0,D186-G186)))</f><v>0</v></c></row><row r="187" spans="1:10" x14ac:dyDescent="0.25"><c r="A187"><v>184</v></c><c r="B187"><f t="shared" si="2"/>&lt;v&gt;16&lt;/v&gt;&lt;/c&gt;&lt;c r=&quot;C187&quot; s=&quot;37&quot;&gt;&lt;f&gt;IF(A187&gt;&apos;Property Calculator&apos;!$B$70*12,0,IF(AND(&apos;Property Calculator&apos;!$B$72=1,B187&gt;&apos;Property Calculator&apos;!$B$69),&apos;Property Calculator&apos;!$B$73,&apos;Property Calculator&apos;!$B$65))</f><v>3.5000000000000003E-2</v></c><c r="D187" s="72"><f>IF(A187&gt;&apos;Property Calculator&apos;!$B$70*12,0,I186)</f><v>197480.25890433259</v></c><c r="E187" s="72"><f>IF(OR(A187&gt;&apos;Property Calculator&apos;!$B$70*12,D187&lt;=0),0,IF(AND(&apos;Property Calculator&apos;!$B$72=1,B187&gt;&apos;Property Calculator&apos;!$B$69),MIN(D187*C187/12+&apos;Property Calculator&apos;!$B$74/12,D187*(1+C187/12)),MIN(&apos;Property Calculator&apos;!$B$67,D187*(1+C187/12))))</f><v>1429.9603560928113</v></c><c r="F187" s="72"><f>IF(OR(A187&gt;&apos;Property Calculator&apos;!$B$70*12,D187&lt;=0),0,D187*C187/12)</f><v>575.98408847097005</v></c><c r="G187" s="72"><f>IF(OR(A187&gt;&apos;Property Calculator&apos;!$B$70*12,D187&lt;=0),0,MAX(0,MIN(D187,E187-F187)))</f><v>853.9762676218412</v></c><c r="H187" s="126"><v>0</v></c><c r="I187" s="72"><f>IF(A187&gt;&apos;Property Calculator&apos;!$B$70*12,0,MAX(0,D187-G187-J187))</f><v>196626.28263671073</v></c><c r="J187" s="72"><f>IF(OR(A187&gt;&apos;Property Calculator&apos;!$B$70*12,D187&lt;=0),0,MIN(H187,MAX(0,D187-G187)))</f><v>0</v></c></row><row r="188" spans="1:10" x14ac:dyDescent="0.25"><c r="A188"><v>185</v></c><c r="B188"><f t="shared" si="2"/>&lt;v&gt;16&lt;/v&gt;&lt;/c&gt;&lt;c r=&quot;C188&quot; s=&quot;37&quot;&gt;&lt;f&gt;IF(A188&gt;&apos;Property Calculator&apos;!$B$70*12,0,IF(AND(&apos;Property Calculator&apos;!$B$72=1,B188&gt;&apos;Property Calculator&apos;!$B$69),&apos;Property Calculator&apos;!$B$73,&apos;Property Calculator&apos;!$B$65))</f><v>3.5000000000000003E-2</v></c><c r="D188" s="72"><f>IF(A188&gt;&apos;Property Calculator&apos;!$B$70*12,0,I187)</f><v>196626.28263671073</v></c><c r="E188" s="72"><f>IF(OR(A188&gt;&apos;Property Calculator&apos;!$B$70*12,D188&lt;=0),0,IF(AND(&apos;Property Calculator&apos;!$B$72=1,B188&gt;&apos;Property Calculator&apos;!$B$69),MIN(D188*C188/12+&apos;Property Calculator&apos;!$B$74/12,D188*(1+C188/12)),MIN(&apos;Property Calculator&apos;!$B$67,D188*(1+C188/12))))</f><v>1429.9603560928113</v></c><c r="F188" s="72"><f>IF(OR(A188&gt;&apos;Property Calculator&apos;!$B$70*12,D188&lt;=0),0,D188*C188/12)</f><v>573.49332435707299</v></c><c r="G188" s="72"><f>IF(OR(A188&gt;&apos;Property Calculator&apos;!$B$70*12,D188&lt;=0),0,MAX(0,MIN(D188,E188-F188)))</f><v>856.46703173573826</v></c><c r="H188" s="126"><v>0</v></c><c r="I188" s="72"><f>IF(A188&gt;&apos;Property Calculator&apos;!$B$70*12,0,MAX(0,D188-G188-J188))</f><v>195769.81560497498</v></c><c r="J188" s="72"><f>IF(OR(A188&gt;&apos;Property Calculator&apos;!$B$70*12,D188&lt;=0),0,MIN(H188,MAX(0,D188-G188)))</f><v>0</v></c></row><row r="189" spans="1:10" x14ac:dyDescent="0.25"><c r="A189"><v>186</v></c><c r="B189"><f t="shared" si="2"/>&lt;v&gt;16&lt;/v&gt;&lt;/c&gt;&lt;c r=&quot;C189&quot; s=&quot;37&quot;&gt;&lt;f&gt;IF(A189&gt;&apos;Property Calculator&apos;!$B$70*12,0,IF(AND(&apos;Property Calculator&apos;!$B$72=1,B189&gt;&apos;Property Calculator&apos;!$B$69),&apos;Property Calculator&apos;!$B$73,&apos;Property Calculator&apos;!$B$65))</f><v>3.5000000000000003E-2</v></c><c r="D189" s="72"><f>IF(A189&gt;&apos;Property Calculator&apos;!$B$70*12,0,I188)</f><v>195769.81560497498</v></c><c r="E189" s="72"><f>IF(OR(A189&gt;&apos;Property Calculator&apos;!$B$70*12,D189&lt;=0),0,IF(AND(&apos;Property Calculator&apos;!$B$72=1,B189&gt;&apos;Property Calculator&apos;!$B$69),MIN(D189*C189/12+&apos;Property Calculator&apos;!$B$74/12,D189*(1+C189/12)),MIN(&apos;Property Calculator&apos;!$B$67,D189*(1+C189/12))))</f><v>1429.9603560928113</v></c><c r="F189" s="72"><f>IF(OR(A189&gt;&apos;Property Calculator&apos;!$B$70*12,D189&lt;=0),0,D189*C189/12)</f><v>570.99529551451042</v></c><c r="G189" s="72"><f>IF(OR(A189&gt;&apos;Property Calculator&apos;!$B$70*12,D189&lt;=0),0,MAX(0,MIN(D189,E189-F189)))</f><v>858.96506057830084</v></c><c r="H189" s="126"><v>0</v></c><c r="I189" s="72"><f>IF(A189&gt;&apos;Property Calculator&apos;!$B$70*12,0,MAX(0,D189-G189-J189))</f><v>194910.85054439667</v></c><c r="J189" s="72"><f>IF(OR(A189&gt;&apos;Property Calculator&apos;!$B$70*12,D189&lt;=0),0,MIN(H189,MAX(0,D189-G189)))</f><v>0</v></c></row><row r="190" spans="1:10" x14ac:dyDescent="0.25"><c r="A190"><v>187</v></c><c r="B190"><f t="shared" si="2"/>&lt;v&gt;16&lt;/v&gt;&lt;/c&gt;&lt;c r=&quot;C190&quot; s=&quot;37&quot;&gt;&lt;f&gt;IF(A190&gt;&apos;Property Calculator&apos;!$B$70*12,0,IF(AND(&apos;Property Calculator&apos;!$B$72=1,B190&gt;&apos;Property Calculator&apos;!$B$69),&apos;Property Calculator&apos;!$B$73,&apos;Property Calculator&apos;!$B$65))</f><v>3.5000000000000003E-2</v></c><c r="D190" s="72"><f>IF(A190&gt;&apos;Property Calculator&apos;!$B$70*12,0,I189)</f><v>194910.85054439667</v></c><c r="E190" s="72"><f>IF(OR(A190&gt;&apos;Property Calculator&apos;!$B$70*12,D190&lt;=0),0,IF(AND(&apos;Property Calculator&apos;!$B$72=1,B190&gt;&apos;Property Calculator&apos;!$B$69),MIN(D190*C190/12+&apos;Property Calculator&apos;!$B$74/12,D190*(1+C190/12)),MIN(&apos;Property Calculator&apos;!$B$67,D190*(1+C190/12))))</f><v>1429.9603560928113</v></c><c r="F190" s="72"><f>IF(OR(A190&gt;&apos;Property Calculator&apos;!$B$70*12,D190&lt;=0),0,D190*C190/12)</f><v>568.48998075449038</v></c><c r="G190" s="72"><f>IF(OR(A190&gt;&apos;Property Calculator&apos;!$B$70*12,D190&lt;=0),0,MAX(0,MIN(D190,E190-F190)))</f><v>861.47037533832088</v></c><c r="H190" s="126"><v>0</v></c><c r="I190" s="72"><f>IF(A190&gt;&apos;Property Calculator&apos;!$B$70*12,0,MAX(0,D190-G190-J190))</f><v>194049.38016905836</v></c><c r="J190" s="72"><f>IF(OR(A190&gt;&apos;Property Calculator&apos;!$B$70*12,D190&lt;=0),0,MIN(H190,MAX(0,D190-G190)))</f><v>0</v></c></row><row r="191" spans="1:10" x14ac:dyDescent="0.25"><c r="A191"><v>188</v></c><c r="B191"><f t="shared" si="2"/>&lt;v&gt;16&lt;/v&gt;&lt;/c&gt;&lt;c r=&quot;C191&quot; s=&quot;37&quot;&gt;&lt;f&gt;IF(A191&gt;&apos;Property Calculator&apos;!$B$70*12,0,IF(AND(&apos;Property Calculator&apos;!$B$72=1,B191&gt;&apos;Property Calculator&apos;!$B$69),&apos;Property Calculator&apos;!$B$73,&apos;Property Calculator&apos;!$B$65))</f><v>3.5000000000000003E-2</v></c><c r="D191" s="72"><f>IF(A191&gt;&apos;Property Calculator&apos;!$B$70*12,0,I190)</f><v>194049.38016905836</v></c><c r="E191" s="72"><f>IF(OR(A191&gt;&apos;Property Calculator&apos;!$B$70*12,D191&lt;=0),0,IF(AND(&apos;Property Calculator&apos;!$B$72=1,B191&gt;&apos;Property Calculator&apos;!$B$69),MIN(D191*C191/12+&apos;Property Calculator&apos;!$B$74/12,D191*(1+C191/12)),MIN(&apos;Property Calculator&apos;!$B$67,D191*(1+C191/12))))</f><v>1429.9603560928113</v></c><c r="F191" s="72"><f>IF(OR(A191&gt;&apos;Property Calculator&apos;!$B$70*12,D191&lt;=0),0,D191*C191/12)</f><v>565.9773588264203</v></c><c r="G191" s="72"><f>IF(OR(A191&gt;&apos;Property Calculator&apos;!$B$70*12,D191&lt;=0),0,MAX(0,MIN(D191,E191-F191)))</f><v>863.98299726639095</v></c><c r="H191" s="126"><v>0</v></c><c r="I191" s="72"><f>IF(A191&gt;&apos;Property Calculator&apos;!$B$70*12,0,MAX(0,D191-G191-J191))</f><v>193185.39717179196</v></c><c r="J191" s="72"><f>IF(OR(A191&gt;&apos;Property Calculator&apos;!$B$70*12,D191&lt;=0),0,MIN(H191,MAX(0,D191-G191)))</f><v>0</v></c></row><row r="192" spans="1:10" x14ac:dyDescent="0.25"><c r="A192"><v>189</v></c><c r="B192"><f t="shared" si="2"/>&lt;v&gt;16&lt;/v&gt;&lt;/c&gt;&lt;c r=&quot;C192&quot; s=&quot;37&quot;&gt;&lt;f&gt;IF(A192&gt;&apos;Property Calculator&apos;!$B$70*12,0,IF(AND(&apos;Property Calculator&apos;!$B$72=1,B192&gt;&apos;Property Calculator&apos;!$B$69),&apos;Property Calculator&apos;!$B$73,&apos;Property Calculator&apos;!$B$65))</f><v>3.5000000000000003E-2</v></c><c r="D192" s="72"><f>IF(A192&gt;&apos;Property Calculator&apos;!$B$70*12,0,I191)</f><v>193185.39717179196</v></c><c r="E192" s="72"><f>IF(OR(A192&gt;&apos;Property Calculator&apos;!$B$70*12,D192&lt;=0),0,IF(AND(&apos;Property Calculator&apos;!$B$72=1,B192&gt;&apos;Property Calculator&apos;!$B$69),MIN(D192*C192/12+&apos;Property Calculator&apos;!$B$74/12,D192*(1+C192/12)),MIN(&apos;Property Calculator&apos;!$B$67,D192*(1+C192/12))))</f><v>1429.9603560928113</v></c><c r="F192" s="72"><f>IF(OR(A192&gt;&apos;Property Calculator&apos;!$B$70*12,D192&lt;=0),0,D192*C192/12)</f><v>563.45740841772658</v></c><c r="G192" s="72"><f>IF(OR(A192&gt;&apos;Property Calculator&apos;!$B$70*12,D192&lt;=0),0,MAX(0,MIN(D192,E192-F192)))</f><v>866.50294767508467</v></c><c r="H192" s="126"><v>0</v></c><c r="I192" s="72"><f>IF(A192&gt;&apos;Property Calculator&apos;!$B$70*12,0,MAX(0,D192-G192-J192))</f><v>192318.89422411687</v></c><c r="J192" s="72"><f>IF(OR(A192&gt;&apos;Property Calculator&apos;!$B$70*12,D192&lt;=0),0,MIN(H192,MAX(0,D192-G192)))</f><v>0</v></c></row><row r="193" spans="1:10" x14ac:dyDescent="0.25"><c r="A193"><v>190</v></c><c r="B193"><f t="shared" si="2"/>&lt;v&gt;16&lt;/v&gt;&lt;/c&gt;&lt;c r=&quot;C193&quot; s=&quot;37&quot;&gt;&lt;f&gt;IF(A193&gt;&apos;Property Calculator&apos;!$B$70*12,0,IF(AND(&apos;Property Calculator&apos;!$B$72=1,B193&gt;&apos;Property Calculator&apos;!$B$69),&apos;Property Calculator&apos;!$B$73,&apos;Property Calculator&apos;!$B$65))</f><v>3.5000000000000003E-2</v></c><c r="D193" s="72"><f>IF(A193&gt;&apos;Property Calculator&apos;!$B$70*12,0,I192)</f><v>192318.89422411687</v></c><c r="E193" s="72"><f>IF(OR(A193&gt;&apos;Property Calculator&apos;!$B$70*12,D193&lt;=0),0,IF(AND(&apos;Property Calculator&apos;!$B$72=1,B193&gt;&apos;Property Calculator&apos;!$B$69),MIN(D193*C193/12+&apos;Property Calculator&apos;!$B$74/12,D193*(1+C193/12)),MIN(&apos;Property Calculator&apos;!$B$67,D193*(1+C193/12))))</f><v>1429.9603560928113</v></c><c r="F193" s="72"><f>IF(OR(A193&gt;&apos;Property Calculator&apos;!$B$70*12,D193&lt;=0),0,D193*C193/12)</f><v>560.93010815367427</v></c><c r="G193" s="72"><f>IF(OR(A193&gt;&apos;Property Calculator&apos;!$B$70*12,D193&lt;=0),0,MAX(0,MIN(D193,E193-F193)))</f><v>869.03024793913698</v></c><c r="H193" s="126"><v>0</v></c><c r="I193" s="72"><f>IF(A193&gt;&apos;Property Calculator&apos;!$B$70*12,0,MAX(0,D193-G193-J193))</f><v>191449.86397617773</v></c><c r="J193" s="72"><f>IF(OR(A193&gt;&apos;Property Calculator&apos;!$B$70*12,D193&lt;=0),0,MIN(H193,MAX(0,D193-G193)))</f><v>0</v></c></row><row r="194" spans="1:10" x14ac:dyDescent="0.25"><c r="A194"><v>191</v></c><c r="B194"><f t="shared" si="2"/>&lt;v&gt;16&lt;/v&gt;&lt;/c&gt;&lt;c r=&quot;C194&quot; s=&quot;37&quot;&gt;&lt;f&gt;IF(A194&gt;&apos;Property Calculator&apos;!$B$70*12,0,IF(AND(&apos;Property Calculator&apos;!$B$72=1,B194&gt;&apos;Property Calculator&apos;!$B$69),&apos;Property Calculator&apos;!$B$73,&apos;Property Calculator&apos;!$B$65))</f><v>3.5000000000000003E-2</v></c><c r="D194" s="72"><f>IF(A194&gt;&apos;Property Calculator&apos;!$B$70*12,0,I193)</f><v>191449.86397617773</v></c><c r="E194" s="72"><f>IF(OR(A194&gt;&apos;Property Calculator&apos;!$B$70*12,D194&lt;=0),0,IF(AND(&apos;Property Calculator&apos;!$B$72=1,B194&gt;&apos;Property Calculator&apos;!$B$69),MIN(D194*C194/12+&apos;Property Calculator&apos;!$B$74/12,D194*(1+C194/12)),MIN(&apos;Property Calculator&apos;!$B$67,D194*(1+C194/12))))</f><v>1429.9603560928113</v></c><c r="F194" s="72"><f>IF(OR(A194&gt;&apos;Property Calculator&apos;!$B$70*12,D194&lt;=0),0,D194*C194/12)</f><v>558.39543659718504</v></c><c r="G194" s="72"><f>IF(OR(A194&gt;&apos;Property Calculator&apos;!$B$70*12,D194&lt;=0),0,MAX(0,MIN(D194,E194-F194)))</f><v>871.56491949562621</v></c><c r="H194" s="126"><v>0</v></c><c r="I194" s="72"><f>IF(A194&gt;&apos;Property Calculator&apos;!$B$70*12,0,MAX(0,D194-G194-J194))</f><v>190578.2990566821</v></c><c r="J194" s="72"><f>IF(OR(A194&gt;&apos;Property Calculator&apos;!$B$70*12,D194&lt;=0),0,MIN(H194,MAX(0,D194-G194)))</f><v>0</v></c></row><row r="195" spans="1:10" x14ac:dyDescent="0.25"><c r="A195"><v>192</v></c><c r="B195"><f t="shared" si="2"/>&lt;v&gt;16&lt;/v&gt;&lt;/c&gt;&lt;c r=&quot;C195&quot; s=&quot;37&quot;&gt;&lt;f&gt;IF(A195&gt;&apos;Property Calculator&apos;!$B$70*12,0,IF(AND(&apos;Property Calculator&apos;!$B$72=1,B195&gt;&apos;Property Calculator&apos;!$B$69),&apos;Property Calculator&apos;!$B$73,&apos;Property Calculator&apos;!$B$65))</f><v>3.5000000000000003E-2</v></c><c r="D195" s="72"><f>IF(A195&gt;&apos;Property Calculator&apos;!$B$70*12,0,I194)</f><v>190578.2990566821</v></c><c r="E195" s="72"><f>IF(OR(A195&gt;&apos;Property Calculator&apos;!$B$70*12,D195&lt;=0),0,IF(AND(&apos;Property Calculator&apos;!$B$72=1,B195&gt;&apos;Property Calculator&apos;!$B$69),MIN(D195*C195/12+&apos;Property Calculator&apos;!$B$74/12,D195*(1+C195/12)),MIN(&apos;Property Calculator&apos;!$B$67,D195*(1+C195/12))))</f><v>1429.9603560928113</v></c><c r="F195" s="72"><f>IF(OR(A195&gt;&apos;Property Calculator&apos;!$B$70*12,D195&lt;=0),0,D195*C195/12)</f><v>555.85337224865623</v></c><c r="G195" s="72"><f>IF(OR(A195&gt;&apos;Property Calculator&apos;!$B$70*12,D195&lt;=0),0,MAX(0,MIN(D195,E195-F195)))</f><v>874.10698384415502</v></c><c r="H195" s="126"><v>0</v></c><c r="I195" s="72"><f>IF(A195&gt;&apos;Property Calculator&apos;!$B$70*12,0,MAX(0,D195-G195-J195))</f><v>189704.19207283793</v></c><c r="J195" s="72"><f>IF(OR(A195&gt;&apos;Property Calculator&apos;!$B$70*12,D195&lt;=0),0,MIN(H195,MAX(0,D195-G195)))</f><v>0</v></c></row><row r="196" spans="1:10" x14ac:dyDescent="0.25"><c r="A196"><v>193</v></c><c r="B196"><f t="shared" ref="B196:B259" si="3">INT((A196-1)/12)+1</f><v>17</v></c><c r="C196" s="37"><f>IF(A196&gt;&apos;Property Calculator&apos;!$B$70*12,0,IF(AND(&apos;Property Calculator&apos;!$B$72=1,B196&gt;&apos;Property Calculator&apos;!$B$69),&apos;Property Calculator&apos;!$B$73,&apos;Property Calculator&apos;!$B$65))</f><v>3.5000000000000003E-2</v></c><c r="D196" s="72"><f>IF(A196&gt;&apos;Property Calculator&apos;!$B$70*12,0,I195)</f><v>189704.19207283793</v></c><c r="E196" s="72"><f>IF(OR(A196&gt;&apos;Property Calculator&apos;!$B$70*12,D196&lt;=0),0,IF(AND(&apos;Property Calculator&apos;!$B$72=1,B196&gt;&apos;Property Calculator&apos;!$B$69),MIN(D196*C196/12+&apos;Property Calculator&apos;!$B$74/12,D196*(1+C196/12)),MIN(&apos;Property Calculator&apos;!$B$67,D196*(1+C196/12))))</f><v>1429.9603560928113</v></c><c r="F196" s="72"><f>IF(OR(A196&gt;&apos;Property Calculator&apos;!$B$70*12,D196&lt;=0),0,D196*C196/12)</f><v>553.30389354577733</v></c><c r="G196" s="72"><f>IF(OR(A196&gt;&apos;Property Calculator&apos;!$B$70*12,D196&lt;=0),0,MAX(0,MIN(D196,E196-F196)))</f><v>876.65646254703393</v></c><c r="H196" s="126"><v>0</v></c><c r="I196" s="72"><f>IF(A196&gt;&apos;Property Calculator&apos;!$B$70*12,0,MAX(0,D196-G196-J196))</f><v>188827.53561029091</v></c><c r="J196" s="72"><f>IF(OR(A196&gt;&apos;Property Calculator&apos;!$B$70*12,D196&lt;=0),0,MIN(H196,MAX(0,D196-G196)))</f><v>0</v></c></row><row r="197" spans="1:10" x14ac:dyDescent="0.25"><c r="A197"><v>194</v></c><c r="B197"><f t="shared" si="3"/>&lt;v&gt;17&lt;/v&gt;&lt;/c&gt;&lt;c r=&quot;C197&quot; s=&quot;37&quot;&gt;&lt;f&gt;IF(A197&gt;&apos;Property Calculator&apos;!$B$70*12,0,IF(AND(&apos;Property Calculator&apos;!$B$72=1,B197&gt;&apos;Property Calculator&apos;!$B$69),&apos;Property Calculator&apos;!$B$73,&apos;Property Calculator&apos;!$B$65))</f><v>3.5000000000000003E-2</v></c><c r="D197" s="72"><f>IF(A197&gt;&apos;Property Calculator&apos;!$B$70*12,0,I196)</f><v>188827.53561029091</v></c><c r="E197" s="72"><f>IF(OR(A197&gt;&apos;Property Calculator&apos;!$B$70*12,D197&lt;=0),0,IF(AND(&apos;Property Calculator&apos;!$B$72=1,B197&gt;&apos;Property Calculator&apos;!$B$69),MIN(D197*C197/12+&apos;Property Calculator&apos;!$B$74/12,D197*(1+C197/12)),MIN(&apos;Property Calculator&apos;!$B$67,D197*(1+C197/12))))</f><v>1429.9603560928113</v></c><c r="F197" s="72"><f>IF(OR(A197&gt;&apos;Property Calculator&apos;!$B$70*12,D197&lt;=0),0,D197*C197/12)</f><v>550.74697886334855</v></c><c r="G197" s="72"><f>IF(OR(A197&gt;&apos;Property Calculator&apos;!$B$70*12,D197&lt;=0),0,MAX(0,MIN(D197,E197-F197)))</f><v>879.21337722946271</v></c><c r="H197" s="126"><v>0</v></c><c r="I197" s="72"><f>IF(A197&gt;&apos;Property Calculator&apos;!$B$70*12,0,MAX(0,D197-G197-J197))</f><v>187948.32223306145</v></c><c r="J197" s="72"><f>IF(OR(A197&gt;&apos;Property Calculator&apos;!$B$70*12,D197&lt;=0),0,MIN(H197,MAX(0,D197-G197)))</f><v>0</v></c></row><row r="198" spans="1:10" x14ac:dyDescent="0.25"><c r="A198"><v>195</v></c><c r="B198"><f t="shared" si="3"/>&lt;v&gt;17&lt;/v&gt;&lt;/c&gt;&lt;c r=&quot;C198&quot; s=&quot;37&quot;&gt;&lt;f&gt;IF(A198&gt;&apos;Property Calculator&apos;!$B$70*12,0,IF(AND(&apos;Property Calculator&apos;!$B$72=1,B198&gt;&apos;Property Calculator&apos;!$B$69),&apos;Property Calculator&apos;!$B$73,&apos;Property Calculator&apos;!$B$65))</f><v>3.5000000000000003E-2</v></c><c r="D198" s="72"><f>IF(A198&gt;&apos;Property Calculator&apos;!$B$70*12,0,I197)</f><v>187948.32223306145</v></c><c r="E198" s="72"><f>IF(OR(A198&gt;&apos;Property Calculator&apos;!$B$70*12,D198&lt;=0),0,IF(AND(&apos;Property Calculator&apos;!$B$72=1,B198&gt;&apos;Property Calculator&apos;!$B$69),MIN(D198*C198/12+&apos;Property Calculator&apos;!$B$74/12,D198*(1+C198/12)),MIN(&apos;Property Calculator&apos;!$B$67,D198*(1+C198/12))))</f><v>1429.9603560928113</v></c><c r="F198" s="72"><f>IF(OR(A198&gt;&apos;Property Calculator&apos;!$B$70*12,D198&lt;=0),0,D198*C198/12)</f><v>548.18260651309595</v></c><c r="G198" s="72"><f>IF(OR(A198&gt;&apos;Property Calculator&apos;!$B$70*12,D198&lt;=0),0,MAX(0,MIN(D198,E198-F198)))</f><v>881.77774957971531</v></c><c r="H198" s="126"><v>0</v></c><c r="I198" s="72"><f>IF(A198&gt;&apos;Property Calculator&apos;!$B$70*12,0,MAX(0,D198-G198-J198))</f><v>187066.54448348173</v></c><c r="J198" s="72"><f>IF(OR(A198&gt;&apos;Property Calculator&apos;!$B$70*12,D198&lt;=0),0,MIN(H198,MAX(0,D198-G198)))</f><v>0</v></c></row><row r="199" spans="1:10" x14ac:dyDescent="0.25"><c r="A199"><v>196</v></c><c r="B199"><f t="shared" si="3"/>&lt;v&gt;17&lt;/v&gt;&lt;/c&gt;&lt;c r=&quot;C199&quot; s=&quot;37&quot;&gt;&lt;f&gt;IF(A199&gt;&apos;Property Calculator&apos;!$B$70*12,0,IF(AND(&apos;Property Calculator&apos;!$B$72=1,B199&gt;&apos;Property Calculator&apos;!$B$69),&apos;Property Calculator&apos;!$B$73,&apos;Property Calculator&apos;!$B$65))</f><v>3.5000000000000003E-2</v></c><c r="D199" s="72"><f>IF(A199&gt;&apos;Property Calculator&apos;!$B$70*12,0,I198)</f><v>187066.54448348173</v></c><c r="E199" s="72"><f>IF(OR(A199&gt;&apos;Property Calculator&apos;!$B$70*12,D199&lt;=0),0,IF(AND(&apos;Property Calculator&apos;!$B$72=1,B199&gt;&apos;Property Calculator&apos;!$B$69),MIN(D199*C199/12+&apos;Property Calculator&apos;!$B$74/12,D199*(1+C199/12)),MIN(&apos;Property Calculator&apos;!$B$67,D199*(1+C199/12))))</f><v>1429.9603560928113</v></c><c r="F199" s="72"><f>IF(OR(A199&gt;&apos;Property Calculator&apos;!$B$70*12,D199&lt;=0),0,D199*C199/12)</f><v>545.61075474348843</v></c><c r="G199" s="72"><f>IF(OR(A199&gt;&apos;Property Calculator&apos;!$B$70*12,D199&lt;=0),0,MAX(0,MIN(D199,E199-F199)))</f><v>884.34960134932282</v></c><c r="H199" s="126"><v>0</v></c><c r="I199" s="72"><f>IF(A199&gt;&apos;Property Calculator&apos;!$B$70*12,0,MAX(0,D199-G199-J199))</f><v>186182.1948821324</v></c><c r="J199" s="72"><f>IF(OR(A199&gt;&apos;Property Calculator&apos;!$B$70*12,D199&lt;=0),0,MIN(H199,MAX(0,D199-G199)))</f><v>0</v></c></row><row r="200" spans="1:10" x14ac:dyDescent="0.25"><c r="A200"><v>197</v></c><c r="B200"><f t="shared" si="3"/>&lt;v&gt;17&lt;/v&gt;&lt;/c&gt;&lt;c r=&quot;C200&quot; s=&quot;37&quot;&gt;&lt;f&gt;IF(A200&gt;&apos;Property Calculator&apos;!$B$70*12,0,IF(AND(&apos;Property Calculator&apos;!$B$72=1,B200&gt;&apos;Property Calculator&apos;!$B$69),&apos;Property Calculator&apos;!$B$73,&apos;Property Calculator&apos;!$B$65))</f><v>3.5000000000000003E-2</v></c><c r="D200" s="72"><f>IF(A200&gt;&apos;Property Calculator&apos;!$B$70*12,0,I199)</f><v>186182.1948821324</v></c><c r="E200" s="72"><f>IF(OR(A200&gt;&apos;Property Calculator&apos;!$B$70*12,D200&lt;=0),0,IF(AND(&apos;Property Calculator&apos;!$B$72=1,B200&gt;&apos;Property Calculator&apos;!$B$69),MIN(D200*C200/12+&apos;Property Calculator&apos;!$B$74/12,D200*(1+C200/12)),MIN(&apos;Property Calculator&apos;!$B$67,D200*(1+C200/12))))</f><v>1429.9603560928113</v></c><c r="F200" s="72"><f>IF(OR(A200&gt;&apos;Property Calculator&apos;!$B$70*12,D200&lt;=0),0,D200*C200/12)</f><v>543.03140173955296</v></c><c r="G200" s="72"><f>IF(OR(A200&gt;&apos;Property Calculator&apos;!$B$70*12,D200&lt;=0),0,MAX(0,MIN(D200,E200-F200)))</f><v>886.92895435325829</v></c><c r="H200" s="126"><v>0</v></c><c r="I200" s="72"><f>IF(A200&gt;&apos;Property Calculator&apos;!$B$70*12,0,MAX(0,D200-G200-J200))</f><v>185295.26592777914</v></c><c r="J200" s="72"><f>IF(OR(A200&gt;&apos;Property Calculator&apos;!$B$70*12,D200&lt;=0),0,MIN(H200,MAX(0,D200-G200)))</f><v>0</v></c></row><row r="201" spans="1:10" x14ac:dyDescent="0.25"><c r="A201"><v>198</v></c><c r="B201"><f t="shared" si="3"/>&lt;v&gt;17&lt;/v&gt;&lt;/c&gt;&lt;c r=&quot;C201&quot; s=&quot;37&quot;&gt;&lt;f&gt;IF(A201&gt;&apos;Property Calculator&apos;!$B$70*12,0,IF(AND(&apos;Property Calculator&apos;!$B$72=1,B201&gt;&apos;Property Calculator&apos;!$B$69),&apos;Property Calculator&apos;!$B$73,&apos;Property Calculator&apos;!$B$65))</f><v>3.5000000000000003E-2</v></c><c r="D201" s="72"><f>IF(A201&gt;&apos;Property Calculator&apos;!$B$70*12,0,I200)</f><v>185295.26592777914</v></c><c r="E201" s="72"><f>IF(OR(A201&gt;&apos;Property Calculator&apos;!$B$70*12,D201&lt;=0),0,IF(AND(&apos;Property Calculator&apos;!$B$72=1,B201&gt;&apos;Property Calculator&apos;!$B$69),MIN(D201*C201/12+&apos;Property Calculator&apos;!$B$74/12,D201*(1+C201/12)),MIN(&apos;Property Calculator&apos;!$B$67,D201*(1+C201/12))))</f><v>1429.9603560928113</v></c><c r="F201" s="72"><f>IF(OR(A201&gt;&apos;Property Calculator&apos;!$B$70*12,D201&lt;=0),0,D201*C201/12)</f><v>540.44452562268918</v></c><c r="G201" s="72"><f>IF(OR(A201&gt;&apos;Property Calculator&apos;!$B$70*12,D201&lt;=0),0,MAX(0,MIN(D201,E201-F201)))</f><v>889.51583047012207</v></c><c r="H201" s="126"><v>0</v></c><c r="I201" s="72"><f>IF(A201&gt;&apos;Property Calculator&apos;!$B$70*12,0,MAX(0,D201-G201-J201))</f><v>184405.75009730901</v></c><c r="J201" s="72"><f>IF(OR(A201&gt;&apos;Property Calculator&apos;!$B$70*12,D201&lt;=0),0,MIN(H201,MAX(0,D201-G201)))</f><v>0</v></c></row><row r="202" spans="1:10" x14ac:dyDescent="0.25"><c r="A202"><v>199</v></c><c r="B202"><f t="shared" si="3"/>&lt;v&gt;17&lt;/v&gt;&lt;/c&gt;&lt;c r=&quot;C202&quot; s=&quot;37&quot;&gt;&lt;f&gt;IF(A202&gt;&apos;Property Calculator&apos;!$B$70*12,0,IF(AND(&apos;Property Calculator&apos;!$B$72=1,B202&gt;&apos;Property Calculator&apos;!$B$69),&apos;Property Calculator&apos;!$B$73,&apos;Property Calculator&apos;!$B$65))</f><v>3.5000000000000003E-2</v></c><c r="D202" s="72"><f>IF(A202&gt;&apos;Property Calculator&apos;!$B$70*12,0,I201)</f><v>184405.75009730901</v></c><c r="E202" s="72"><f>IF(OR(A202&gt;&apos;Property Calculator&apos;!$B$70*12,D202&lt;=0),0,IF(AND(&apos;Property Calculator&apos;!$B$72=1,B202&gt;&apos;Property Calculator&apos;!$B$69),MIN(D202*C202/12+&apos;Property Calculator&apos;!$B$74/12,D202*(1+C202/12)),MIN(&apos;Property Calculator&apos;!$B$67,D202*(1+C202/12))))</f><v>1429.9603560928113</v></c><c r="F202" s="72"><f>IF(OR(A202&gt;&apos;Property Calculator&apos;!$B$70*12,D202&lt;=0),0,D202*C202/12)</f><v>537.85010445048465</v></c><c r="G202" s="72"><f>IF(OR(A202&gt;&apos;Property Calculator&apos;!$B$70*12,D202&lt;=0),0,MAX(0,MIN(D202,E202-F202)))</f><v>892.1102516423266</v></c><c r="H202" s="126"><v>0</v></c><c r="I202" s="72"><f>IF(A202&gt;&apos;Property Calculator&apos;!$B$70*12,0,MAX(0,D202-G202-J202))</f><v>183513.63984566668</v></c><c r="J202" s="72"><f>IF(OR(A202&gt;&apos;Property Calculator&apos;!$B$70*12,D202&lt;=0),0,MIN(H202,MAX(0,D202-G202)))</f><v>0</v></c></row><row r="203" spans="1:10" x14ac:dyDescent="0.25"><c r="A203"><v>200</v></c><c r="B203"><f t="shared" si="3"/>&lt;v&gt;17&lt;/v&gt;&lt;/c&gt;&lt;c r=&quot;C203&quot; s=&quot;37&quot;&gt;&lt;f&gt;IF(A203&gt;&apos;Property Calculator&apos;!$B$70*12,0,IF(AND(&apos;Property Calculator&apos;!$B$72=1,B203&gt;&apos;Property Calculator&apos;!$B$69),&apos;Property Calculator&apos;!$B$73,&apos;Property Calculator&apos;!$B$65))</f><v>3.5000000000000003E-2</v></c><c r="D203" s="72"><f>IF(A203&gt;&apos;Property Calculator&apos;!$B$70*12,0,I202)</f><v>183513.63984566668</v></c><c r="E203" s="72"><f>IF(OR(A203&gt;&apos;Property Calculator&apos;!$B$70*12,D203&lt;=0),0,IF(AND(&apos;Property Calculator&apos;!$B$72=1,B203&gt;&apos;Property Calculator&apos;!$B$69),MIN(D203*C203/12+&apos;Property Calculator&apos;!$B$74/12,D203*(1+C203/12)),MIN(&apos;Property Calculator&apos;!$B$67,D203*(1+C203/12))))</f><v>1429.9603560928113</v></c><c r="F203" s="72"><f>IF(OR(A203&gt;&apos;Property Calculator&apos;!$B$70*12,D203&lt;=0),0,D203*C203/12)</f><v>535.24811621652782</v></c><c r="G203" s="72"><f>IF(OR(A203&gt;&apos;Property Calculator&apos;!$B$70*12,D203&lt;=0),0,MAX(0,MIN(D203,E203-F203)))</f><v>894.71223987628343</v></c><c r="H203" s="126"><v>0</v></c><c r="I203" s="72"><f>IF(A203&gt;&apos;Property Calculator&apos;!$B$70*12,0,MAX(0,D203-G203-J203))</f><v>182618.92760579041</v></c><c r="J203" s="72"><f>IF(OR(A203&gt;&apos;Property Calculator&apos;!$B$70*12,D203&lt;=0),0,MIN(H203,MAX(0,D203-G203)))</f><v>0</v></c></row><row r="204" spans="1:10" x14ac:dyDescent="0.25"><c r="A204"><v>201</v></c><c r="B204"><f t="shared" si="3"/>&lt;v&gt;17&lt;/v&gt;&lt;/c&gt;&lt;c r=&quot;C204&quot; s=&quot;37&quot;&gt;&lt;f&gt;IF(A204&gt;&apos;Property Calculator&apos;!$B$70*12,0,IF(AND(&apos;Property Calculator&apos;!$B$72=1,B204&gt;&apos;Property Calculator&apos;!$B$69),&apos;Property Calculator&apos;!$B$73,&apos;Property Calculator&apos;!$B$65))</f><v>3.5000000000000003E-2</v></c><c r="D204" s="72"><f>IF(A204&gt;&apos;Property Calculator&apos;!$B$70*12,0,I203)</f><v>182618.92760579041</v></c><c r="E204" s="72"><f>IF(OR(A204&gt;&apos;Property Calculator&apos;!$B$70*12,D204&lt;=0),0,IF(AND(&apos;Property Calculator&apos;!$B$72=1,B204&gt;&apos;Property Calculator&apos;!$B$69),MIN(D204*C204/12+&apos;Property Calculator&apos;!$B$74/12,D204*(1+C204/12)),MIN(&apos;Property Calculator&apos;!$B$67,D204*(1+C204/12))))</f><v>1429.9603560928113</v></c><c r="F204" s="72"><f>IF(OR(A204&gt;&apos;Property Calculator&apos;!$B$70*12,D204&lt;=0),0,D204*C204/12)</f><v>532.63853885022206</v></c><c r="G204" s="72"><f>IF(OR(A204&gt;&apos;Property Calculator&apos;!$B$70*12,D204&lt;=0),0,MAX(0,MIN(D204,E204-F204)))</f><v>897.32181724258919</v></c><c r="H204" s="126"><v>0</v></c><c r="I204" s="72"><f>IF(A204&gt;&apos;Property Calculator&apos;!$B$70*12,0,MAX(0,D204-G204-J204))</f><v>181721.60578854781</v></c><c r="J204" s="72"><f>IF(OR(A204&gt;&apos;Property Calculator&apos;!$B$70*12,D204&lt;=0),0,MIN(H204,MAX(0,D204-G204)))</f><v>0</v></c></row><row r="205" spans="1:10" x14ac:dyDescent="0.25"><c r="A205"><v>202</v></c><c r="B205"><f t="shared" si="3"/>&lt;v&gt;17&lt;/v&gt;&lt;/c&gt;&lt;c r=&quot;C205&quot; s=&quot;37&quot;&gt;&lt;f&gt;IF(A205&gt;&apos;Property Calculator&apos;!$B$70*12,0,IF(AND(&apos;Property Calculator&apos;!$B$72=1,B205&gt;&apos;Property Calculator&apos;!$B$69),&apos;Property Calculator&apos;!$B$73,&apos;Property Calculator&apos;!$B$65))</f><v>3.5000000000000003E-2</v></c><c r="D205" s="72"><f>IF(A205&gt;&apos;Property Calculator&apos;!$B$70*12,0,I204)</f><v>181721.60578854781</v></c><c r="E205" s="72"><f>IF(OR(A205&gt;&apos;Property Calculator&apos;!$B$70*12,D205&lt;=0),0,IF(AND(&apos;Property Calculator&apos;!$B$72=1,B205&gt;&apos;Property Calculator&apos;!$B$69),MIN(D205*C205/12+&apos;Property Calculator&apos;!$B$74/12,D205*(1+C205/12)),MIN(&apos;Property Calculator&apos;!$B$67,D205*(1+C205/12))))</f><v>1429.9603560928113</v></c><c r="F205" s="72"><f>IF(OR(A205&gt;&apos;Property Calculator&apos;!$B$70*12,D205&lt;=0),0,D205*C205/12)</f><v>530.02135021659785</v></c><c r="G205" s="72"><f>IF(OR(A205&gt;&apos;Property Calculator&apos;!$B$70*12,D205&lt;=0),0,MAX(0,MIN(D205,E205-F205)))</f><v>899.9390058762134</v></c><c r="H205" s="126"><v>0</v></c><c r="I205" s="72"><f>IF(A205&gt;&apos;Property Calculator&apos;!$B$70*12,0,MAX(0,D205-G205-J205))</f><v>180821.66678267159</v></c><c r="J205" s="72"><f>IF(OR(A205&gt;&apos;Property Calculator&apos;!$B$70*12,D205&lt;=0),0,MIN(H205,MAX(0,D205-G205)))</f><v>0</v></c></row><row r="206" spans="1:10" x14ac:dyDescent="0.25"><c r="A206"><v>203</v></c><c r="B206"><f t="shared" si="3"/>&lt;v&gt;17&lt;/v&gt;&lt;/c&gt;&lt;c r=&quot;C206&quot; s=&quot;37&quot;&gt;&lt;f&gt;IF(A206&gt;&apos;Property Calculator&apos;!$B$70*12,0,IF(AND(&apos;Property Calculator&apos;!$B$72=1,B206&gt;&apos;Property Calculator&apos;!$B$69),&apos;Property Calculator&apos;!$B$73,&apos;Property Calculator&apos;!$B$65))</f><v>3.5000000000000003E-2</v></c><c r="D206" s="72"><f>IF(A206&gt;&apos;Property Calculator&apos;!$B$70*12,0,I205)</f><v>180821.66678267159</v></c><c r="E206" s="72"><f>IF(OR(A206&gt;&apos;Property Calculator&apos;!$B$70*12,D206&lt;=0),0,IF(AND(&apos;Property Calculator&apos;!$B$72=1,B206&gt;&apos;Property Calculator&apos;!$B$69),MIN(D206*C206/12+&apos;Property Calculator&apos;!$B$74/12,D206*(1+C206/12)),MIN(&apos;Property Calculator&apos;!$B$67,D206*(1+C206/12))))</f><v>1429.9603560928113</v></c><c r="F206" s="72"><f>IF(OR(A206&gt;&apos;Property Calculator&apos;!$B$70*12,D206&lt;=0),0,D206*C206/12)</f><v>527.39652811612552</v></c><c r="G206" s="72"><f>IF(OR(A206&gt;&apos;Property Calculator&apos;!$B$70*12,D206&lt;=0),0,MAX(0,MIN(D206,E206-F206)))</f><v>902.56382797668573</v></c><c r="H206" s="126"><v>0</v></c><c r="I206" s="72"><f>IF(A206&gt;&apos;Property Calculator&apos;!$B$70*12,0,MAX(0,D206-G206-J206))</f><v>179919.10295469491</v></c><c r="J206" s="72"><f>IF(OR(A206&gt;&apos;Property Calculator&apos;!$B$70*12,D206&lt;=0),0,MIN(H206,MAX(0,D206-G206)))</f><v>0</v></c></row><row r="207" spans="1:10" x14ac:dyDescent="0.25"><c r="A207"><v>204</v></c><c r="B207"><f t="shared" si="3"/>&lt;v&gt;17&lt;/v&gt;&lt;/c&gt;&lt;c r=&quot;C207&quot; s=&quot;37&quot;&gt;&lt;f&gt;IF(A207&gt;&apos;Property Calculator&apos;!$B$70*12,0,IF(AND(&apos;Property Calculator&apos;!$B$72=1,B207&gt;&apos;Property Calculator&apos;!$B$69),&apos;Property Calculator&apos;!$B$73,&apos;Property Calculator&apos;!$B$65))</f><v>3.5000000000000003E-2</v></c><c r="D207" s="72"><f>IF(A207&gt;&apos;Property Calculator&apos;!$B$70*12,0,I206)</f><v>179919.10295469491</v></c><c r="E207" s="72"><f>IF(OR(A207&gt;&apos;Property Calculator&apos;!$B$70*12,D207&lt;=0),0,IF(AND(&apos;Property Calculator&apos;!$B$72=1,B207&gt;&apos;Property Calculator&apos;!$B$69),MIN(D207*C207/12+&apos;Property Calculator&apos;!$B$74/12,D207*(1+C207/12)),MIN(&apos;Property Calculator&apos;!$B$67,D207*(1+C207/12))))</f><v>1429.9603560928113</v></c><c r="F207" s="72"><f>IF(OR(A207&gt;&apos;Property Calculator&apos;!$B$70*12,D207&lt;=0),0,D207*C207/12)</f><v>524.76405028452689</v></c><c r="G207" s="72"><f>IF(OR(A207&gt;&apos;Property Calculator&apos;!$B$70*12,D207&lt;=0),0,MAX(0,MIN(D207,E207-F207)))</f><v>905.19630580828436</v></c><c r="H207" s="126"><v>0</v></c><c r="I207" s="72"><f>IF(A207&gt;&apos;Property Calculator&apos;!$B$70*12,0,MAX(0,D207-G207-J207))</f><v>179013.90664888662</v></c><c r="J207" s="72"><f>IF(OR(A207&gt;&apos;Property Calculator&apos;!$B$70*12,D207&lt;=0),0,MIN(H207,MAX(0,D207-G207)))</f><v>0</v></c></row><row r="208" spans="1:10" x14ac:dyDescent="0.25"><c r="A208"><v>205</v></c><c r="B208"><f t="shared" si="3"/>&lt;v&gt;18&lt;/v&gt;&lt;/c&gt;&lt;c r=&quot;C208&quot; s=&quot;37&quot;&gt;&lt;f&gt;IF(A208&gt;&apos;Property Calculator&apos;!$B$70*12,0,IF(AND(&apos;Property Calculator&apos;!$B$72=1,B208&gt;&apos;Property Calculator&apos;!$B$69),&apos;Property Calculator&apos;!$B$73,&apos;Property Calculator&apos;!$B$65))</f><v>3.5000000000000003E-2</v></c><c r="D208" s="72"><f>IF(A208&gt;&apos;Property Calculator&apos;!$B$70*12,0,I207)</f><v>179013.90664888662</v></c><c r="E208" s="72"><f>IF(OR(A208&gt;&apos;Property Calculator&apos;!$B$70*12,D208&lt;=0),0,IF(AND(&apos;Property Calculator&apos;!$B$72=1,B208&gt;&apos;Property Calculator&apos;!$B$69),MIN(D208*C208/12+&apos;Property Calculator&apos;!$B$74/12,D208*(1+C208/12)),MIN(&apos;Property Calculator&apos;!$B$67,D208*(1+C208/12))))</f><v>1429.9603560928113</v></c><c r="F208" s="72"><f>IF(OR(A208&gt;&apos;Property Calculator&apos;!$B$70*12,D208&lt;=0),0,D208*C208/12)</f><v>522.12389439258607</v></c><c r="G208" s="72"><f>IF(OR(A208&gt;&apos;Property Calculator&apos;!$B$70*12,D208&lt;=0),0,MAX(0,MIN(D208,E208-F208)))</f><v>907.83646170022519</v></c><c r="H208" s="126"><v>0</v></c><c r="I208" s="72"><f>IF(A208&gt;&apos;Property Calculator&apos;!$B$70*12,0,MAX(0,D208-G208-J208))</f><v>178106.07018718639</v></c><c r="J208" s="72"><f>IF(OR(A208&gt;&apos;Property Calculator&apos;!$B$70*12,D208&lt;=0),0,MIN(H208,MAX(0,D208-G208)))</f><v>0</v></c></row><row r="209" spans="1:10" x14ac:dyDescent="0.25"><c r="A209"><v>206</v></c><c r="B209"><f t="shared" si="3"/>&lt;v&gt;18&lt;/v&gt;&lt;/c&gt;&lt;c r=&quot;C209&quot; s=&quot;37&quot;&gt;&lt;f&gt;IF(A209&gt;&apos;Property Calculator&apos;!$B$70*12,0,IF(AND(&apos;Property Calculator&apos;!$B$72=1,B209&gt;&apos;Property Calculator&apos;!$B$69),&apos;Property Calculator&apos;!$B$73,&apos;Property Calculator&apos;!$B$65))</f><v>3.5000000000000003E-2</v></c><c r="D209" s="72"><f>IF(A209&gt;&apos;Property Calculator&apos;!$B$70*12,0,I208)</f><v>178106.07018718639</v></c><c r="E209" s="72"><f>IF(OR(A209&gt;&apos;Property Calculator&apos;!$B$70*12,D209&lt;=0),0,IF(AND(&apos;Property Calculator&apos;!$B$72=1,B209&gt;&apos;Property Calculator&apos;!$B$69),MIN(D209*C209/12+&apos;Property Calculator&apos;!$B$74/12,D209*(1+C209/12)),MIN(&apos;Property Calculator&apos;!$B$67,D209*(1+C209/12))))</f><v>1429.9603560928113</v></c><c r="F209" s="72"><f>IF(OR(A209&gt;&apos;Property Calculator&apos;!$B$70*12,D209&lt;=0),0,D209*C209/12)</f><v>519.47603804596031</v></c><c r="G209" s="72"><f>IF(OR(A209&gt;&apos;Property Calculator&apos;!$B$70*12,D209&lt;=0),0,MAX(0,MIN(D209,E209-F209)))</f><v>910.48431804685094</v></c><c r="H209" s="126"><v>0</v></c><c r="I209" s="72"><f>IF(A209&gt;&apos;Property Calculator&apos;!$B$70*12,0,MAX(0,D209-G209-J209))</f><v>177195.58586913953</v></c><c r="J209" s="72"><f>IF(OR(A209&gt;&apos;Property Calculator&apos;!$B$70*12,D209&lt;=0),0,MIN(H209,MAX(0,D209-G209)))</f><v>0</v></c></row><row r="210" spans="1:10" x14ac:dyDescent="0.25"><c r="A210"><v>207</v></c><c r="B210"><f t="shared" si="3"/>&lt;v&gt;18&lt;/v&gt;&lt;/c&gt;&lt;c r=&quot;C210&quot; s=&quot;37&quot;&gt;&lt;f&gt;IF(A210&gt;&apos;Property Calculator&apos;!$B$70*12,0,IF(AND(&apos;Property Calculator&apos;!$B$72=1,B210&gt;&apos;Property Calculator&apos;!$B$69),&apos;Property Calculator&apos;!$B$73,&apos;Property Calculator&apos;!$B$65))</f><v>3.5000000000000003E-2</v></c><c r="D210" s="72"><f>IF(A210&gt;&apos;Property Calculator&apos;!$B$70*12,0,I209)</f><v>177195.58586913953</v></c><c r="E210" s="72"><f>IF(OR(A210&gt;&apos;Property Calculator&apos;!$B$70*12,D210&lt;=0),0,IF(AND(&apos;Property Calculator&apos;!$B$72=1,B210&gt;&apos;Property Calculator&apos;!$B$69),MIN(D210*C210/12+&apos;Property Calculator&apos;!$B$74/12,D210*(1+C210/12)),MIN(&apos;Property Calculator&apos;!$B$67,D210*(1+C210/12))))</f><v>1429.9603560928113</v></c><c r="F210" s="72"><f>IF(OR(A210&gt;&apos;Property Calculator&apos;!$B$70*12,D210&lt;=0),0,D210*C210/12)</f><v>516.82045878499036</v></c><c r="G210" s="72"><f>IF(OR(A210&gt;&apos;Property Calculator&apos;!$B$70*12,D210&lt;=0),0,MAX(0,MIN(D210,E210-F210)))</f><v>913.13989730782089</v></c><c r="H210" s="126"><v>0</v></c><c r="I210" s="72"><f>IF(A210&gt;&apos;Property Calculator&apos;!$B$70*12,0,MAX(0,D210-G210-J210))</f><v>176282.44597183171</v></c><c r="J210" s="72"><f>IF(OR(A210&gt;&apos;Property Calculator&apos;!$B$70*12,D210&lt;=0),0,MIN(H210,MAX(0,D210-G210)))</f><v>0</v></c></row><row r="211" spans="1:10" x14ac:dyDescent="0.25"><c r="A211"><v>208</v></c><c r="B211"><f t="shared" si="3"/>&lt;v&gt;18&lt;/v&gt;&lt;/c&gt;&lt;c r=&quot;C211&quot; s=&quot;37&quot;&gt;&lt;f&gt;IF(A211&gt;&apos;Property Calculator&apos;!$B$70*12,0,IF(AND(&apos;Property Calculator&apos;!$B$72=1,B211&gt;&apos;Property Calculator&apos;!$B$69),&apos;Property Calculator&apos;!$B$73,&apos;Property Calculator&apos;!$B$65))</f><v>3.5000000000000003E-2</v></c><c r="D211" s="72"><f>IF(A211&gt;&apos;Property Calculator&apos;!$B$70*12,0,I210)</f><v>176282.44597183171</v></c><c r="E211" s="72"><f>IF(OR(A211&gt;&apos;Property Calculator&apos;!$B$70*12,D211&lt;=0),0,IF(AND(&apos;Property Calculator&apos;!$B$72=1,B211&gt;&apos;Property Calculator&apos;!$B$69),MIN(D211*C211/12+&apos;Property Calculator&apos;!$B$74/12,D211*(1+C211/12)),MIN(&apos;Property Calculator&apos;!$B$67,D211*(1+C211/12))))</f><v>1429.9603560928113</v></c><c r="F211" s="72"><f>IF(OR(A211&gt;&apos;Property Calculator&apos;!$B$70*12,D211&lt;=0),0,D211*C211/12)</f><v>514.15713408450927</v></c><c r="G211" s="72"><f>IF(OR(A211&gt;&apos;Property Calculator&apos;!$B$70*12,D211&lt;=0),0,MAX(0,MIN(D211,E211-F211)))</f><v>915.80322200830199</v></c><c r="H211" s="126"><v>0</v></c><c r="I211" s="72"><f>IF(A211&gt;&apos;Property Calculator&apos;!$B$70*12,0,MAX(0,D211-G211-J211))</f><v>175366.6427498234</v></c><c r="J211" s="72"><f>IF(OR(A211&gt;&apos;Property Calculator&apos;!$B$70*12,D211&lt;=0),0,MIN(H211,MAX(0,D211-G211)))</f><v>0</v></c></row><row r="212" spans="1:10" x14ac:dyDescent="0.25"><c r="A212"><v>209</v></c><c r="B212"><f t="shared" si="3"/>&lt;v&gt;18&lt;/v&gt;&lt;/c&gt;&lt;c r=&quot;C212&quot; s=&quot;37&quot;&gt;&lt;f&gt;IF(A212&gt;&apos;Property Calculator&apos;!$B$70*12,0,IF(AND(&apos;Property Calculator&apos;!$B$72=1,B212&gt;&apos;Property Calculator&apos;!$B$69),&apos;Property Calculator&apos;!$B$73,&apos;Property Calculator&apos;!$B$65))</f><v>3.5000000000000003E-2</v></c><c r="D212" s="72"><f>IF(A212&gt;&apos;Property Calculator&apos;!$B$70*12,0,I211)</f><v>175366.6427498234</v></c><c r="E212" s="72"><f>IF(OR(A212&gt;&apos;Property Calculator&apos;!$B$70*12,D212&lt;=0),0,IF(AND(&apos;Property Calculator&apos;!$B$72=1,B212&gt;&apos;Property Calculator&apos;!$B$69),MIN(D212*C212/12+&apos;Property Calculator&apos;!$B$74/12,D212*(1+C212/12)),MIN(&apos;Property Calculator&apos;!$B$67,D212*(1+C212/12))))</f><v>1429.9603560928113</v></c><c r="F212" s="72"><f>IF(OR(A212&gt;&apos;Property Calculator&apos;!$B$70*12,D212&lt;=0),0,D212*C212/12)</f><v>511.48604135365161</v></c><c r="G212" s="72"><f>IF(OR(A212&gt;&apos;Property Calculator&apos;!$B$70*12,D212&lt;=0),0,MAX(0,MIN(D212,E212-F212)))</f><v>918.47431473915958</v></c><c r="H212" s="126"><v>0</v></c><c r="I212" s="72"><f>IF(A212&gt;&apos;Property Calculator&apos;!$B$70*12,0,MAX(0,D212-G212-J212))</f><v>174448.16843508423</v></c><c r="J212" s="72"><f>IF(OR(A212&gt;&apos;Property Calculator&apos;!$B$70*12,D212&lt;=0),0,MIN(H212,MAX(0,D212-G212)))</f><v>0</v></c></row><row r="213" spans="1:10" x14ac:dyDescent="0.25"><c r="A213"><v>210</v></c><c r="B213"><f t="shared" si="3"/>&lt;v&gt;18&lt;/v&gt;&lt;/c&gt;&lt;c r=&quot;C213&quot; s=&quot;37&quot;&gt;&lt;f&gt;IF(A213&gt;&apos;Property Calculator&apos;!$B$70*12,0,IF(AND(&apos;Property Calculator&apos;!$B$72=1,B213&gt;&apos;Property Calculator&apos;!$B$69),&apos;Property Calculator&apos;!$B$73,&apos;Property Calculator&apos;!$B$65))</f><v>3.5000000000000003E-2</v></c><c r="D213" s="72"><f>IF(A213&gt;&apos;Property Calculator&apos;!$B$70*12,0,I212)</f><v>174448.16843508423</v></c><c r="E213" s="72"><f>IF(OR(A213&gt;&apos;Property Calculator&apos;!$B$70*12,D213&lt;=0),0,IF(AND(&apos;Property Calculator&apos;!$B$72=1,B213&gt;&apos;Property Calculator&apos;!$B$69),MIN(D213*C213/12+&apos;Property Calculator&apos;!$B$74/12,D213*(1+C213/12)),MIN(&apos;Property Calculator&apos;!$B$67,D213*(1+C213/12))))</f><v>1429.9603560928113</v></c><c r="F213" s="72"><f>IF(OR(A213&gt;&apos;Property Calculator&apos;!$B$70*12,D213&lt;=0),0,D213*C213/12)</f><v>508.80715793566236</v></c><c r="G213" s="72"><f>IF(OR(A213&gt;&apos;Property Calculator&apos;!$B$70*12,D213&lt;=0),0,MAX(0,MIN(D213,E213-F213)))</f><v>921.15319815714884</v></c><c r="H213" s="126"><v>0</v></c><c r="I213" s="72"><f>IF(A213&gt;&apos;Property Calculator&apos;!$B$70*12,0,MAX(0,D213-G213-J213))</f><v>173527.01523692708</v></c><c r="J213" s="72"><f>IF(OR(A213&gt;&apos;Property Calculator&apos;!$B$70*12,D213&lt;=0),0,MIN(H213,MAX(0,D213-G213)))</f><v>0</v></c></row><row r="214" spans="1:10" x14ac:dyDescent="0.25"><c r="A214"><v>211</v></c><c r="B214"><f t="shared" si="3"/>&lt;v&gt;18&lt;/v&gt;&lt;/c&gt;&lt;c r=&quot;C214&quot; s=&quot;37&quot;&gt;&lt;f&gt;IF(A214&gt;&apos;Property Calculator&apos;!$B$70*12,0,IF(AND(&apos;Property Calculator&apos;!$B$72=1,B214&gt;&apos;Property Calculator&apos;!$B$69),&apos;Property Calculator&apos;!$B$73,&apos;Property Calculator&apos;!$B$65))</f><v>3.5000000000000003E-2</v></c><c r="D214" s="72"><f>IF(A214&gt;&apos;Property Calculator&apos;!$B$70*12,0,I213)</f><v>173527.01523692708</v></c><c r="E214" s="72"><f>IF(OR(A214&gt;&apos;Property Calculator&apos;!$B$70*12,D214&lt;=0),0,IF(AND(&apos;Property Calculator&apos;!$B$72=1,B214&gt;&apos;Property Calculator&apos;!$B$69),MIN(D214*C214/12+&apos;Property Calculator&apos;!$B$74/12,D214*(1+C214/12)),MIN(&apos;Property Calculator&apos;!$B$67,D214*(1+C214/12))))</f><v>1429.9603560928113</v></c><c r="F214" s="72"><f>IF(OR(A214&gt;&apos;Property Calculator&apos;!$B$70*12,D214&lt;=0),0,D214*C214/12)</f><v>506.12046110770399</v></c><c r="G214" s="72"><f>IF(OR(A214&gt;&apos;Property Calculator&apos;!$B$70*12,D214&lt;=0),0,MAX(0,MIN(D214,E214-F214)))</f><v>923.83989498510732</v></c><c r="H214" s="126"><v>0</v></c><c r="I214" s="72"><f>IF(A214&gt;&apos;Property Calculator&apos;!$B$70*12,0,MAX(0,D214-G214-J214))</f><v>172603.17534194197</v></c><c r="J214" s="72"><f>IF(OR(A214&gt;&apos;Property Calculator&apos;!$B$70*12,D214&lt;=0),0,MIN(H214,MAX(0,D214-G214)))</f><v>0</v></c></row><row r="215" spans="1:10" x14ac:dyDescent="0.25"><c r="A215"><v>212</v></c><c r="B215"><f t="shared" si="3"/>&lt;v&gt;18&lt;/v&gt;&lt;/c&gt;&lt;c r=&quot;C215&quot; s=&quot;37&quot;&gt;&lt;f&gt;IF(A215&gt;&apos;Property Calculator&apos;!$B$70*12,0,IF(AND(&apos;Property Calculator&apos;!$B$72=1,B215&gt;&apos;Property Calculator&apos;!$B$69),&apos;Property Calculator&apos;!$B$73,&apos;Property Calculator&apos;!$B$65))</f><v>3.5000000000000003E-2</v></c><c r="D215" s="72"><f>IF(A215&gt;&apos;Property Calculator&apos;!$B$70*12,0,I214)</f><v>172603.17534194197</v></c><c r="E215" s="72"><f>IF(OR(A215&gt;&apos;Property Calculator&apos;!$B$70*12,D215&lt;=0),0,IF(AND(&apos;Property Calculator&apos;!$B$72=1,B215&gt;&apos;Property Calculator&apos;!$B$69),MIN(D215*C215/12+&apos;Property Calculator&apos;!$B$74/12,D215*(1+C215/12)),MIN(&apos;Property Calculator&apos;!$B$67,D215*(1+C215/12))))</f><v>1429.9603560928113</v></c><c r="F215" s="72"><f>IF(OR(A215&gt;&apos;Property Calculator&apos;!$B$70*12,D215&lt;=0),0,D215*C215/12)</f><v>503.42592808066411</v></c><c r="G215" s="72"><f>IF(OR(A215&gt;&apos;Property Calculator&apos;!$B$70*12,D215&lt;=0),0,MAX(0,MIN(D215,E215-F215)))</f><v>926.53442801214715</v></c><c r="H215" s="126"><v>0</v></c><c r="I215" s="72"><f>IF(A215&gt;&apos;Property Calculator&apos;!$B$70*12,0,MAX(0,D215-G215-J215))</f><v>171676.64091392982</v></c><c r="J215" s="72"><f>IF(OR(A215&gt;&apos;Property Calculator&apos;!$B$70*12,D215&lt;=0),0,MIN(H215,MAX(0,D215-G215)))</f><v>0</v></c></row><row r="216" spans="1:10" x14ac:dyDescent="0.25"><c r="A216"><v>213</v></c><c r="B216"><f t="shared" si="3"/>&lt;v&gt;18&lt;/v&gt;&lt;/c&gt;&lt;c r=&quot;C216&quot; s=&quot;37&quot;&gt;&lt;f&gt;IF(A216&gt;&apos;Property Calculator&apos;!$B$70*12,0,IF(AND(&apos;Property Calculator&apos;!$B$72=1,B216&gt;&apos;Property Calculator&apos;!$B$69),&apos;Property Calculator&apos;!$B$73,&apos;Property Calculator&apos;!$B$65))</f><v>3.5000000000000003E-2</v></c><c r="D216" s="72"><f>IF(A216&gt;&apos;Property Calculator&apos;!$B$70*12,0,I215)</f><v>171676.64091392982</v></c><c r="E216" s="72"><f>IF(OR(A216&gt;&apos;Property Calculator&apos;!$B$70*12,D216&lt;=0),0,IF(AND(&apos;Property Calculator&apos;!$B$72=1,B216&gt;&apos;Property Calculator&apos;!$B$69),MIN(D216*C216/12+&apos;Property Calculator&apos;!$B$74/12,D216*(1+C216/12)),MIN(&apos;Property Calculator&apos;!$B$67,D216*(1+C216/12))))</f><v>1429.9603560928113</v></c><c r="F216" s="72"><f>IF(OR(A216&gt;&apos;Property Calculator&apos;!$B$70*12,D216&lt;=0),0,D216*C216/12)</f><v>500.72353599896201</v></c><c r="G216" s="72"><f>IF(OR(A216&gt;&apos;Property Calculator&apos;!$B$70*12,D216&lt;=0),0,MAX(0,MIN(D216,E216-F216)))</f><v>929.23682009384925</v></c><c r="H216" s="126"><v>0</v></c><c r="I216" s="72"><f>IF(A216&gt;&apos;Property Calculator&apos;!$B$70*12,0,MAX(0,D216-G216-J216))</f><v>170747.40409383597</v></c><c r="J216" s="72"><f>IF(OR(A216&gt;&apos;Property Calculator&apos;!$B$70*12,D216&lt;=0),0,MIN(H216,MAX(0,D216-G216)))</f><v>0</v></c></row><row r="217" spans="1:10" x14ac:dyDescent="0.25"><c r="A217"><v>214</v></c><c r="B217"><f t="shared" si="3"/>&lt;v&gt;18&lt;/v&gt;&lt;/c&gt;&lt;c r=&quot;C217&quot; s=&quot;37&quot;&gt;&lt;f&gt;IF(A217&gt;&apos;Property Calculator&apos;!$B$70*12,0,IF(AND(&apos;Property Calculator&apos;!$B$72=1,B217&gt;&apos;Property Calculator&apos;!$B$69),&apos;Property Calculator&apos;!$B$73,&apos;Property Calculator&apos;!$B$65))</f><v>3.5000000000000003E-2</v></c><c r="D217" s="72"><f>IF(A217&gt;&apos;Property Calculator&apos;!$B$70*12,0,I216)</f><v>170747.40409383597</v></c><c r="E217" s="72"><f>IF(OR(A217&gt;&apos;Property Calculator&apos;!$B$70*12,D217&lt;=0),0,IF(AND(&apos;Property Calculator&apos;!$B$72=1,B217&gt;&apos;Property Calculator&apos;!$B$69),MIN(D217*C217/12+&apos;Property Calculator&apos;!$B$74/12,D217*(1+C217/12)),MIN(&apos;Property Calculator&apos;!$B$67,D217*(1+C217/12))))</f><v>1429.9603560928113</v></c><c r="F217" s="72"><f>IF(OR(A217&gt;&apos;Property Calculator&apos;!$B$70*12,D217&lt;=0),0,D217*C217/12)</f><v>498.01326194035499</v></c><c r="G217" s="72"><f>IF(OR(A217&gt;&apos;Property Calculator&apos;!$B$70*12,D217&lt;=0),0,MAX(0,MIN(D217,E217-F217)))</f><v>931.9470941524562</v></c><c r="H217" s="126"><v>0</v></c><c r="I217" s="72"><f>IF(A217&gt;&apos;Property Calculator&apos;!$B$70*12,0,MAX(0,D217-G217-J217))</f><v>169815.45699968352</v></c><c r="J217" s="72"><f>IF(OR(A217&gt;&apos;Property Calculator&apos;!$B$70*12,D217&lt;=0),0,MIN(H217,MAX(0,D217-G217)))</f><v>0</v></c></row><row r="218" spans="1:10" x14ac:dyDescent="0.25"><c r="A218"><v>215</v></c><c r="B218"><f t="shared" si="3"/>&lt;v&gt;18&lt;/v&gt;&lt;/c&gt;&lt;c r=&quot;C218&quot; s=&quot;37&quot;&gt;&lt;f&gt;IF(A218&gt;&apos;Property Calculator&apos;!$B$70*12,0,IF(AND(&apos;Property Calculator&apos;!$B$72=1,B218&gt;&apos;Property Calculator&apos;!$B$69),&apos;Property Calculator&apos;!$B$73,&apos;Property Calculator&apos;!$B$65))</f><v>3.5000000000000003E-2</v></c><c r="D218" s="72"><f>IF(A218&gt;&apos;Property Calculator&apos;!$B$70*12,0,I217)</f><v>169815.45699968352</v></c><c r="E218" s="72"><f>IF(OR(A218&gt;&apos;Property Calculator&apos;!$B$70*12,D218&lt;=0),0,IF(AND(&apos;Property Calculator&apos;!$B$72=1,B218&gt;&apos;Property Calculator&apos;!$B$69),MIN(D218*C218/12+&apos;Property Calculator&apos;!$B$74/12,D218*(1+C218/12)),MIN(&apos;Property Calculator&apos;!$B$67,D218*(1+C218/12))))</f><v>1429.9603560928113</v></c><c r="F218" s="72"><f>IF(OR(A218&gt;&apos;Property Calculator&apos;!$B$70*12,D218&lt;=0),0,D218*C218/12)</f><v>495.29508291574365</v></c><c r="G218" s="72"><f>IF(OR(A218&gt;&apos;Property Calculator&apos;!$B$70*12,D218&lt;=0),0,MAX(0,MIN(D218,E218-F218)))</f><v>934.66527317706755</v></c><c r="H218" s="126"><v>0</v></c><c r="I218" s="72"><f>IF(A218&gt;&apos;Property Calculator&apos;!$B$70*12,0,MAX(0,D218-G218-J218))</f><v>168880.79172650646</v></c><c r="J218" s="72"><f>IF(OR(A218&gt;&apos;Property Calculator&apos;!$B$70*12,D218&lt;=0),0,MIN(H218,MAX(0,D218-G218)))</f><v>0</v></c></row><row r="219" spans="1:10" x14ac:dyDescent="0.25"><c r="A219"><v>216</v></c><c r="B219"><f t="shared" si="3"/>&lt;v&gt;18&lt;/v&gt;&lt;/c&gt;&lt;c r=&quot;C219&quot; s=&quot;37&quot;&gt;&lt;f&gt;IF(A219&gt;&apos;Property Calculator&apos;!$B$70*12,0,IF(AND(&apos;Property Calculator&apos;!$B$72=1,B219&gt;&apos;Property Calculator&apos;!$B$69),&apos;Property Calculator&apos;!$B$73,&apos;Property Calculator&apos;!$B$65))</f><v>3.5000000000000003E-2</v></c><c r="D219" s="72"><f>IF(A219&gt;&apos;Property Calculator&apos;!$B$70*12,0,I218)</f><v>168880.79172650646</v></c><c r="E219" s="72"><f>IF(OR(A219&gt;&apos;Property Calculator&apos;!$B$70*12,D219&lt;=0),0,IF(AND(&apos;Property Calculator&apos;!$B$72=1,B219&gt;&apos;Property Calculator&apos;!$B$69),MIN(D219*C219/12+&apos;Property Calculator&apos;!$B$74/12,D219*(1+C219/12)),MIN(&apos;Property Calculator&apos;!$B$67,D219*(1+C219/12))))</f><v>1429.9603560928113</v></c><c r="F219" s="72"><f>IF(OR(A219&gt;&apos;Property Calculator&apos;!$B$70*12,D219&lt;=0),0,D219*C219/12)</f><v>492.56897586897725</v></c><c r="G219" s="72"><f>IF(OR(A219&gt;&apos;Property Calculator&apos;!$B$70*12,D219&lt;=0),0,MAX(0,MIN(D219,E219-F219)))</f><v>937.39138022383395</v></c><c r="H219" s="126"><v>0</v></c><c r="I219" s="72"><f>IF(A219&gt;&apos;Property Calculator&apos;!$B$70*12,0,MAX(0,D219-G219-J219))</f><v>167943.40034628264</v></c><c r="J219" s="72"><f>IF(OR(A219&gt;&apos;Property Calculator&apos;!$B$70*12,D219&lt;=0),0,MIN(H219,MAX(0,D219-G219)))</f><v>0</v></c></row><row r="220" spans="1:10" x14ac:dyDescent="0.25"><c r="A220"><v>217</v></c><c r="B220"><f t="shared" si="3"/>&lt;v&gt;19&lt;/v&gt;&lt;/c&gt;&lt;c r=&quot;C220&quot; s=&quot;37&quot;&gt;&lt;f&gt;IF(A220&gt;&apos;Property Calculator&apos;!$B$70*12,0,IF(AND(&apos;Property Calculator&apos;!$B$72=1,B220&gt;&apos;Property Calculator&apos;!$B$69),&apos;Property Calculator&apos;!$B$73,&apos;Property Calculator&apos;!$B$65))</f><v>3.5000000000000003E-2</v></c><c r="D220" s="72"><f>IF(A220&gt;&apos;Property Calculator&apos;!$B$70*12,0,I219)</f><v>167943.40034628264</v></c><c r="E220" s="72"><f>IF(OR(A220&gt;&apos;Property Calculator&apos;!$B$70*12,D220&lt;=0),0,IF(AND(&apos;Property Calculator&apos;!$B$72=1,B220&gt;&apos;Property Calculator&apos;!$B$69),MIN(D220*C220/12+&apos;Property Calculator&apos;!$B$74/12,D220*(1+C220/12)),MIN(&apos;Property Calculator&apos;!$B$67,D220*(1+C220/12))))</f><v>1429.9603560928113</v></c><c r="F220" s="72"><f>IF(OR(A220&gt;&apos;Property Calculator&apos;!$B$70*12,D220&lt;=0),0,D220*C220/12)</f><v>489.83491767665777</v></c><c r="G220" s="72"><f>IF(OR(A220&gt;&apos;Property Calculator&apos;!$B$70*12,D220&lt;=0),0,MAX(0,MIN(D220,E220-F220)))</f><v>940.12543841615343</v></c><c r="H220" s="126"><v>0</v></c><c r="I220" s="72"><f>IF(A220&gt;&apos;Property Calculator&apos;!$B$70*12,0,MAX(0,D220-G220-J220))</f><v>167003.27490786649</v></c><c r="J220" s="72"><f>IF(OR(A220&gt;&apos;Property Calculator&apos;!$B$70*12,D220&lt;=0),0,MIN(H220,MAX(0,D220-G220)))</f><v>0</v></c></row><row r="221" spans="1:10" x14ac:dyDescent="0.25"><c r="A221"><v>218</v></c><c r="B221"><f t="shared" si="3"/>&lt;v&gt;19&lt;/v&gt;&lt;/c&gt;&lt;c r=&quot;C221&quot; s=&quot;37&quot;&gt;&lt;f&gt;IF(A221&gt;&apos;Property Calculator&apos;!$B$70*12,0,IF(AND(&apos;Property Calculator&apos;!$B$72=1,B221&gt;&apos;Property Calculator&apos;!$B$69),&apos;Property Calculator&apos;!$B$73,&apos;Property Calculator&apos;!$B$65))</f><v>3.5000000000000003E-2</v></c><c r="D221" s="72"><f>IF(A221&gt;&apos;Property Calculator&apos;!$B$70*12,0,I220)</f><v>167003.27490786649</v></c><c r="E221" s="72"><f>IF(OR(A221&gt;&apos;Property Calculator&apos;!$B$70*12,D221&lt;=0),0,IF(AND(&apos;Property Calculator&apos;!$B$72=1,B221&gt;&apos;Property Calculator&apos;!$B$69),MIN(D221*C221/12+&apos;Property Calculator&apos;!$B$74/12,D221*(1+C221/12)),MIN(&apos;Property Calculator&apos;!$B$67,D221*(1+C221/12))))</f><v>1429.9603560928113</v></c><c r="F221" s="72"><f>IF(OR(A221&gt;&apos;Property Calculator&apos;!$B$70*12,D221&lt;=0),0,D221*C221/12)</f><v>487.09288514794395</v></c><c r="G221" s="72"><f>IF(OR(A221&gt;&apos;Property Calculator&apos;!$B$70*12,D221&lt;=0),0,MAX(0,MIN(D221,E221-F221)))</f><v>942.86747094486736</v></c><c r="H221" s="126"><v>0</v></c><c r="I221" s="72"><f>IF(A221&gt;&apos;Property Calculator&apos;!$B$70*12,0,MAX(0,D221-G221-J221))</f><v>166060.40743692164</v></c><c r="J221" s="72"><f>IF(OR(A221&gt;&apos;Property Calculator&apos;!$B$70*12,D221&lt;=0),0,MIN(H221,MAX(0,D221-G221)))</f><v>0</v></c></row><row r="222" spans="1:10" x14ac:dyDescent="0.25"><c r="A222"><v>219</v></c><c r="B222"><f t="shared" si="3"/>&lt;v&gt;19&lt;/v&gt;&lt;/c&gt;&lt;c r=&quot;C222&quot; s=&quot;37&quot;&gt;&lt;f&gt;IF(A222&gt;&apos;Property Calculator&apos;!$B$70*12,0,IF(AND(&apos;Property Calculator&apos;!$B$72=1,B222&gt;&apos;Property Calculator&apos;!$B$69),&apos;Property Calculator&apos;!$B$73,&apos;Property Calculator&apos;!$B$65))</f><v>3.5000000000000003E-2</v></c><c r="D222" s="72"><f>IF(A222&gt;&apos;Property Calculator&apos;!$B$70*12,0,I221)</f><v>166060.40743692164</v></c><c r="E222" s="72"><f>IF(OR(A222&gt;&apos;Property Calculator&apos;!$B$70*12,D222&lt;=0),0,IF(AND(&apos;Property Calculator&apos;!$B$72=1,B222&gt;&apos;Property Calculator&apos;!$B$69),MIN(D222*C222/12+&apos;Property Calculator&apos;!$B$74/12,D222*(1+C222/12)),MIN(&apos;Property Calculator&apos;!$B$67,D222*(1+C222/12))))</f><v>1429.9603560928113</v></c><c r="F222" s="72"><f>IF(OR(A222&gt;&apos;Property Calculator&apos;!$B$70*12,D222&lt;=0),0,D222*C222/12)</f><v>484.34285502435483</v></c><c r="G222" s="72"><f>IF(OR(A222&gt;&apos;Property Calculator&apos;!$B$70*12,D222&lt;=0),0,MAX(0,MIN(D222,E222-F222)))</f><v>945.61750106845648</v></c><c r="H222" s="126"><v>0</v></c><c r="I222" s="72"><f>IF(A222&gt;&apos;Property Calculator&apos;!$B$70*12,0,MAX(0,D222-G222-J222))</f><v>165114.78993585319</v></c><c r="J222" s="72"><f>IF(OR(A222&gt;&apos;Property Calculator&apos;!$B$70*12,D222&lt;=0),0,MIN(H222,MAX(0,D222-G222)))</f><v>0</v></c></row><row r="223" spans="1:10" x14ac:dyDescent="0.25"><c r="A223"><v>220</v></c><c r="B223"><f t="shared" si="3"/>&lt;v&gt;19&lt;/v&gt;&lt;/c&gt;&lt;c r=&quot;C223&quot; s=&quot;37&quot;&gt;&lt;f&gt;IF(A223&gt;&apos;Property Calculator&apos;!$B$70*12,0,IF(AND(&apos;Property Calculator&apos;!$B$72=1,B223&gt;&apos;Property Calculator&apos;!$B$69),&apos;Property Calculator&apos;!$B$73,&apos;Property Calculator&apos;!$B$65))</f><v>3.5000000000000003E-2</v></c><c r="D223" s="72"><f>IF(A223&gt;&apos;Property Calculator&apos;!$B$70*12,0,I222)</f><v>165114.78993585319</v></c><c r="E223" s="72"><f>IF(OR(A223&gt;&apos;Property Calculator&apos;!$B$70*12,D223&lt;=0),0,IF(AND(&apos;Property Calculator&apos;!$B$72=1,B223&gt;&apos;Property Calculator&apos;!$B$69),MIN(D223*C223/12+&apos;Property Calculator&apos;!$B$74/12,D223*(1+C223/12)),MIN(&apos;Property Calculator&apos;!$B$67,D223*(1+C223/12))))</f><v>1429.9603560928113</v></c><c r="F223" s="72"><f>IF(OR(A223&gt;&apos;Property Calculator&apos;!$B$70*12,D223&lt;=0),0,D223*C223/12)</f><v>481.58480397957186</v></c><c r="G223" s="72"><f>IF(OR(A223&gt;&apos;Property Calculator&apos;!$B$70*12,D223&lt;=0),0,MAX(0,MIN(D223,E223-F223)))</f><v>948.37555211323934</v></c><c r="H223" s="126"><v>0</v></c><c r="I223" s="72"><f>IF(A223&gt;&apos;Property Calculator&apos;!$B$70*12,0,MAX(0,D223-G223-J223))</f><v>164166.41438373996</v></c><c r="J223" s="72"><f>IF(OR(A223&gt;&apos;Property Calculator&apos;!$B$70*12,D223&lt;=0),0,MIN(H223,MAX(0,D223-G223)))</f><v>0</v></c></row><row r="224" spans="1:10" x14ac:dyDescent="0.25"><c r="A224"><v>221</v></c><c r="B224"><f t="shared" si="3"/>&lt;v&gt;19&lt;/v&gt;&lt;/c&gt;&lt;c r=&quot;C224&quot; s=&quot;37&quot;&gt;&lt;f&gt;IF(A224&gt;&apos;Property Calculator&apos;!$B$70*12,0,IF(AND(&apos;Property Calculator&apos;!$B$72=1,B224&gt;&apos;Property Calculator&apos;!$B$69),&apos;Property Calculator&apos;!$B$73,&apos;Property Calculator&apos;!$B$65))</f><v>3.5000000000000003E-2</v></c><c r="D224" s="72"><f>IF(A224&gt;&apos;Property Calculator&apos;!$B$70*12,0,I223)</f><v>164166.41438373996</v></c><c r="E224" s="72"><f>IF(OR(A224&gt;&apos;Property Calculator&apos;!$B$70*12,D224&lt;=0),0,IF(AND(&apos;Property Calculator&apos;!$B$72=1,B224&gt;&apos;Property Calculator&apos;!$B$69),MIN(D224*C224/12+&apos;Property Calculator&apos;!$B$74/12,D224*(1+C224/12)),MIN(&apos;Property Calculator&apos;!$B$67,D224*(1+C224/12))))</f><v>1429.9603560928113</v></c><c r="F224" s="72"><f>IF(OR(A224&gt;&apos;Property Calculator&apos;!$B$70*12,D224&lt;=0),0,D224*C224/12)</f><v>478.81870861924159</v></c><c r="G224" s="72"><f>IF(OR(A224&gt;&apos;Property Calculator&apos;!$B$70*12,D224&lt;=0),0,MAX(0,MIN(D224,E224-F224)))</f><v>951.14164747356972</v></c><c r="H224" s="126"><v>0</v></c><c r="I224" s="72"><f>IF(A224&gt;&apos;Property Calculator&apos;!$B$70*12,0,MAX(0,D224-G224-J224))</f><v>163215.2727362664</v></c><c r="J224" s="72"><f>IF(OR(A224&gt;&apos;Property Calculator&apos;!$B$70*12,D224&lt;=0),0,MIN(H224,MAX(0,D224-G224)))</f><v>0</v></c></row><row r="225" spans="1:10" x14ac:dyDescent="0.25"><c r="A225"><v>222</v></c><c r="B225"><f t="shared" si="3"/>&lt;v&gt;19&lt;/v&gt;&lt;/c&gt;&lt;c r=&quot;C225&quot; s=&quot;37&quot;&gt;&lt;f&gt;IF(A225&gt;&apos;Property Calculator&apos;!$B$70*12,0,IF(AND(&apos;Property Calculator&apos;!$B$72=1,B225&gt;&apos;Property Calculator&apos;!$B$69),&apos;Property Calculator&apos;!$B$73,&apos;Property Calculator&apos;!$B$65))</f><v>3.5000000000000003E-2</v></c><c r="D225" s="72"><f>IF(A225&gt;&apos;Property Calculator&apos;!$B$70*12,0,I224)</f><v>163215.2727362664</v></c><c r="E225" s="72"><f>IF(OR(A225&gt;&apos;Property Calculator&apos;!$B$70*12,D225&lt;=0),0,IF(AND(&apos;Property Calculator&apos;!$B$72=1,B225&gt;&apos;Property Calculator&apos;!$B$69),MIN(D225*C225/12+&apos;Property Calculator&apos;!$B$74/12,D225*(1+C225/12)),MIN(&apos;Property Calculator&apos;!$B$67,D225*(1+C225/12))))</f><v>1429.9603560928113</v></c><c r="F225" s="72"><f>IF(OR(A225&gt;&apos;Property Calculator&apos;!$B$70*12,D225&lt;=0),0,D225*C225/12)</f><v>476.04454548077706</v></c><c r="G225" s="72"><f>IF(OR(A225&gt;&apos;Property Calculator&apos;!$B$70*12,D225&lt;=0),0,MAX(0,MIN(D225,E225-F225)))</f><v>953.91581061203419</v></c><c r="H225" s="126"><v>0</v></c><c r="I225" s="72"><f>IF(A225&gt;&apos;Property Calculator&apos;!$B$70*12,0,MAX(0,D225-G225-J225))</f><v>162261.35692565437</v></c><c r="J225" s="72"><f>IF(OR(A225&gt;&apos;Property Calculator&apos;!$B$70*12,D225&lt;=0),0,MIN(H225,MAX(0,D225-G225)))</f><v>0</v></c></row><row r="226" spans="1:10" x14ac:dyDescent="0.25"><c r="A226"><v>223</v></c><c r="B226"><f t="shared" si="3"/>&lt;v&gt;19&lt;/v&gt;&lt;/c&gt;&lt;c r=&quot;C226&quot; s=&quot;37&quot;&gt;&lt;f&gt;IF(A226&gt;&apos;Property Calculator&apos;!$B$70*12,0,IF(AND(&apos;Property Calculator&apos;!$B$72=1,B226&gt;&apos;Property Calculator&apos;!$B$69),&apos;Property Calculator&apos;!$B$73,&apos;Property Calculator&apos;!$B$65))</f><v>3.5000000000000003E-2</v></c><c r="D226" s="72"><f>IF(A226&gt;&apos;Property Calculator&apos;!$B$70*12,0,I225)</f><v>162261.35692565437</v></c><c r="E226" s="72"><f>IF(OR(A226&gt;&apos;Property Calculator&apos;!$B$70*12,D226&lt;=0),0,IF(AND(&apos;Property Calculator&apos;!$B$72=1,B226&gt;&apos;Property Calculator&apos;!$B$69),MIN(D226*C226/12+&apos;Property Calculator&apos;!$B$74/12,D226*(1+C226/12)),MIN(&apos;Property Calculator&apos;!$B$67,D226*(1+C226/12))))</f><v>1429.9603560928113</v></c><c r="F226" s="72"><f>IF(OR(A226&gt;&apos;Property Calculator&apos;!$B$70*12,D226&lt;=0),0,D226*C226/12)</f><v>473.26229103315859</v></c><c r="G226" s="72"><f>IF(OR(A226&gt;&apos;Property Calculator&apos;!$B$70*12,D226&lt;=0),0,MAX(0,MIN(D226,E226-F226)))</f><v>956.69806505965266</v></c><c r="H226" s="126"><v>0</v></c><c r="I226" s="72"><f>IF(A226&gt;&apos;Property Calculator&apos;!$B$70*12,0,MAX(0,D226-G226-J226))</f><v>161304.6588605947</v></c><c r="J226" s="72"><f>IF(OR(A226&gt;&apos;Property Calculator&apos;!$B$70*12,D226&lt;=0),0,MIN(H226,MAX(0,D226-G226)))</f><v>0</v></c></row><row r="227" spans="1:10" x14ac:dyDescent="0.25"><c r="A227"><v>224</v></c><c r="B227"><f t="shared" si="3"/>&lt;v&gt;19&lt;/v&gt;&lt;/c&gt;&lt;c r=&quot;C227&quot; s=&quot;37&quot;&gt;&lt;f&gt;IF(A227&gt;&apos;Property Calculator&apos;!$B$70*12,0,IF(AND(&apos;Property Calculator&apos;!$B$72=1,B227&gt;&apos;Property Calculator&apos;!$B$69),&apos;Property Calculator&apos;!$B$73,&apos;Property Calculator&apos;!$B$65))</f><v>3.5000000000000003E-2</v></c><c r="D227" s="72"><f>IF(A227&gt;&apos;Property Calculator&apos;!$B$70*12,0,I226)</f><v>161304.6588605947</v></c><c r="E227" s="72"><f>IF(OR(A227&gt;&apos;Property Calculator&apos;!$B$70*12,D227&lt;=0),0,IF(AND(&apos;Property Calculator&apos;!$B$72=1,B227&gt;&apos;Property Calculator&apos;!$B$69),MIN(D227*C227/12+&apos;Property Calculator&apos;!$B$74/12,D227*(1+C227/12)),MIN(&apos;Property Calculator&apos;!$B$67,D227*(1+C227/12))))</f><v>1429.9603560928113</v></c><c r="F227" s="72"><f>IF(OR(A227&gt;&apos;Property Calculator&apos;!$B$70*12,D227&lt;=0),0,D227*C227/12)</f><v>470.47192167673461</v></c><c r="G227" s="72"><f>IF(OR(A227&gt;&apos;Property Calculator&apos;!$B$70*12,D227&lt;=0),0,MAX(0,MIN(D227,E227-F227)))</f><v>959.48843441607664</v></c><c r="H227" s="126"><v>0</v></c><c r="I227" s="72"><f>IF(A227&gt;&apos;Property Calculator&apos;!$B$70*12,0,MAX(0,D227-G227-J227))</f><v>160345.17042617864</v></c><c r="J227" s="72"><f>IF(OR(A227&gt;&apos;Property Calculator&apos;!$B$70*12,D227&lt;=0),0,MIN(H227,MAX(0,D227-G227)))</f><v>0</v></c></row><row r="228" spans="1:10" x14ac:dyDescent="0.25"><c r="A228"><v>225</v></c><c r="B228"><f t="shared" si="3"/>&lt;v&gt;19&lt;/v&gt;&lt;/c&gt;&lt;c r=&quot;C228&quot; s=&quot;37&quot;&gt;&lt;f&gt;IF(A228&gt;&apos;Property Calculator&apos;!$B$70*12,0,IF(AND(&apos;Property Calculator&apos;!$B$72=1,B228&gt;&apos;Property Calculator&apos;!$B$69),&apos;Property Calculator&apos;!$B$73,&apos;Property Calculator&apos;!$B$65))</f><v>3.5000000000000003E-2</v></c><c r="D228" s="72"><f>IF(A228&gt;&apos;Property Calculator&apos;!$B$70*12,0,I227)</f><v>160345.17042617864</v></c><c r="E228" s="72"><f>IF(OR(A228&gt;&apos;Property Calculator&apos;!$B$70*12,D228&lt;=0),0,IF(AND(&apos;Property Calculator&apos;!$B$72=1,B228&gt;&apos;Property Calculator&apos;!$B$69),MIN(D228*C228/12+&apos;Property Calculator&apos;!$B$74/12,D228*(1+C228/12)),MIN(&apos;Property Calculator&apos;!$B$67,D228*(1+C228/12))))</f><v>1429.9603560928113</v></c><c r="F228" s="72"><f>IF(OR(A228&gt;&apos;Property Calculator&apos;!$B$70*12,D228&lt;=0),0,D228*C228/12)</f><v>467.67341374302106</v></c><c r="G228" s="72"><f>IF(OR(A228&gt;&apos;Property Calculator&apos;!$B$70*12,D228&lt;=0),0,MAX(0,MIN(D228,E228-F228)))</f><v>962.28694234979025</v></c><c r="H228" s="126"><v>0</v></c><c r="I228" s="72"><f>IF(A228&gt;&apos;Property Calculator&apos;!$B$70*12,0,MAX(0,D228-G228-J228))</f><v>159382.88348382886</v></c><c r="J228" s="72"><f>IF(OR(A228&gt;&apos;Property Calculator&apos;!$B$70*12,D228&lt;=0),0,MIN(H228,MAX(0,D228-G228)))</f><v>0</v></c></row><row r="229" spans="1:10" x14ac:dyDescent="0.25"><c r="A229"><v>226</v></c><c r="B229"><f t="shared" si="3"/>&lt;v&gt;19&lt;/v&gt;&lt;/c&gt;&lt;c r=&quot;C229&quot; s=&quot;37&quot;&gt;&lt;f&gt;IF(A229&gt;&apos;Property Calculator&apos;!$B$70*12,0,IF(AND(&apos;Property Calculator&apos;!$B$72=1,B229&gt;&apos;Property Calculator&apos;!$B$69),&apos;Property Calculator&apos;!$B$73,&apos;Property Calculator&apos;!$B$65))</f><v>3.5000000000000003E-2</v></c><c r="D229" s="72"><f>IF(A229&gt;&apos;Property Calculator&apos;!$B$70*12,0,I228)</f><v>159382.88348382886</v></c><c r="E229" s="72"><f>IF(OR(A229&gt;&apos;Property Calculator&apos;!$B$70*12,D229&lt;=0),0,IF(AND(&apos;Property Calculator&apos;!$B$72=1,B229&gt;&apos;Property Calculator&apos;!$B$69),MIN(D229*C229/12+&apos;Property Calculator&apos;!$B$74/12,D229*(1+C229/12)),MIN(&apos;Property Calculator&apos;!$B$67,D229*(1+C229/12))))</f><v>1429.9603560928113</v></c><c r="F229" s="72"><f>IF(OR(A229&gt;&apos;Property Calculator&apos;!$B$70*12,D229&lt;=0),0,D229*C229/12)</f><v>464.86674349450089</v></c><c r="G229" s="72"><f>IF(OR(A229&gt;&apos;Property Calculator&apos;!$B$70*12,D229&lt;=0),0,MAX(0,MIN(D229,E229-F229)))</f><v>965.0936125983103</v></c><c r="H229" s="126"><v>0</v></c><c r="I229" s="72"><f>IF(A229&gt;&apos;Property Calculator&apos;!$B$70*12,0,MAX(0,D229-G229-J229))</f><v>158417.78987123055</v></c><c r="J229" s="72"><f>IF(OR(A229&gt;&apos;Property Calculator&apos;!$B$70*12,D229&lt;=0),0,MIN(H229,MAX(0,D229-G229)))</f><v>0</v></c></row><row r="230" spans="1:10" x14ac:dyDescent="0.25"><c r="A230"><v>227</v></c><c r="B230"><f t="shared" si="3"/>&lt;v&gt;19&lt;/v&gt;&lt;/c&gt;&lt;c r=&quot;C230&quot; s=&quot;37&quot;&gt;&lt;f&gt;IF(A230&gt;&apos;Property Calculator&apos;!$B$70*12,0,IF(AND(&apos;Property Calculator&apos;!$B$72=1,B230&gt;&apos;Property Calculator&apos;!$B$69),&apos;Property Calculator&apos;!$B$73,&apos;Property Calculator&apos;!$B$65))</f><v>3.5000000000000003E-2</v></c><c r="D230" s="72"><f>IF(A230&gt;&apos;Property Calculator&apos;!$B$70*12,0,I229)</f><v>158417.78987123055</v></c><c r="E230" s="72"><f>IF(OR(A230&gt;&apos;Property Calculator&apos;!$B$70*12,D230&lt;=0),0,IF(AND(&apos;Property Calculator&apos;!$B$72=1,B230&gt;&apos;Property Calculator&apos;!$B$69),MIN(D230*C230/12+&apos;Property Calculator&apos;!$B$74/12,D230*(1+C230/12)),MIN(&apos;Property Calculator&apos;!$B$67,D230*(1+C230/12))))</f><v>1429.9603560928113</v></c><c r="F230" s="72"><f>IF(OR(A230&gt;&apos;Property Calculator&apos;!$B$70*12,D230&lt;=0),0,D230*C230/12)</f><v>462.05188712442242</v></c><c r="G230" s="72"><f>IF(OR(A230&gt;&apos;Property Calculator&apos;!$B$70*12,D230&lt;=0),0,MAX(0,MIN(D230,E230-F230)))</f><v>967.90846896838889</v></c><c r="H230" s="126"><v>0</v></c><c r="I230" s="72"><f>IF(A230&gt;&apos;Property Calculator&apos;!$B$70*12,0,MAX(0,D230-G230-J230))</f><v>157449.88140226217</v></c><c r="J230" s="72"><f>IF(OR(A230&gt;&apos;Property Calculator&apos;!$B$70*12,D230&lt;=0),0,MIN(H230,MAX(0,D230-G230)))</f><v>0</v></c></row><row r="231" spans="1:10" x14ac:dyDescent="0.25"><c r="A231"><v>228</v></c><c r="B231"><f t="shared" si="3"/>&lt;v&gt;19&lt;/v&gt;&lt;/c&gt;&lt;c r=&quot;C231&quot; s=&quot;37&quot;&gt;&lt;f&gt;IF(A231&gt;&apos;Property Calculator&apos;!$B$70*12,0,IF(AND(&apos;Property Calculator&apos;!$B$72=1,B231&gt;&apos;Property Calculator&apos;!$B$69),&apos;Property Calculator&apos;!$B$73,&apos;Property Calculator&apos;!$B$65))</f><v>3.5000000000000003E-2</v></c><c r="D231" s="72"><f>IF(A231&gt;&apos;Property Calculator&apos;!$B$70*12,0,I230)</f><v>157449.88140226217</v></c><c r="E231" s="72"><f>IF(OR(A231&gt;&apos;Property Calculator&apos;!$B$70*12,D231&lt;=0),0,IF(AND(&apos;Property Calculator&apos;!$B$72=1,B231&gt;&apos;Property Calculator&apos;!$B$69),MIN(D231*C231/12+&apos;Property Calculator&apos;!$B$74/12,D231*(1+C231/12)),MIN(&apos;Property Calculator&apos;!$B$67,D231*(1+C231/12))))</f><v>1429.9603560928113</v></c><c r="F231" s="72"><f>IF(OR(A231&gt;&apos;Property Calculator&apos;!$B$70*12,D231&lt;=0),0,D231*C231/12)</f><v>459.228820756598</v></c><c r="G231" s="72"><f>IF(OR(A231&gt;&apos;Property Calculator&apos;!$B$70*12,D231&lt;=0),0,MAX(0,MIN(D231,E231-F231)))</f><v>970.73153533621326</v></c><c r="H231" s="126"><v>0</v></c><c r="I231" s="72"><f>IF(A231&gt;&apos;Property Calculator&apos;!$B$70*12,0,MAX(0,D231-G231-J231))</f><v>156479.14986692596</v></c><c r="J231" s="72"><f>IF(OR(A231&gt;&apos;Property Calculator&apos;!$B$70*12,D231&lt;=0),0,MIN(H231,MAX(0,D231-G231)))</f><v>0</v></c></row><row r="232" spans="1:10" x14ac:dyDescent="0.25"><c r="A232"><v>229</v></c><c r="B232"><f t="shared" si="3"/>&lt;v&gt;20&lt;/v&gt;&lt;/c&gt;&lt;c r=&quot;C232&quot; s=&quot;37&quot;&gt;&lt;f&gt;IF(A232&gt;&apos;Property Calculator&apos;!$B$70*12,0,IF(AND(&apos;Property Calculator&apos;!$B$72=1,B232&gt;&apos;Property Calculator&apos;!$B$69),&apos;Property Calculator&apos;!$B$73,&apos;Property Calculator&apos;!$B$65))</f><v>3.5000000000000003E-2</v></c><c r="D232" s="72"><f>IF(A232&gt;&apos;Property Calculator&apos;!$B$70*12,0,I231)</f><v>156479.14986692596</v></c><c r="E232" s="72"><f>IF(OR(A232&gt;&apos;Property Calculator&apos;!$B$70*12,D232&lt;=0),0,IF(AND(&apos;Property Calculator&apos;!$B$72=1,B232&gt;&apos;Property Calculator&apos;!$B$69),MIN(D232*C232/12+&apos;Property Calculator&apos;!$B$74/12,D232*(1+C232/12)),MIN(&apos;Property Calculator&apos;!$B$67,D232*(1+C232/12))))</f><v>1429.9603560928113</v></c><c r="F232" s="72"><f>IF(OR(A232&gt;&apos;Property Calculator&apos;!$B$70*12,D232&lt;=0),0,D232*C232/12)</f><v>456.39752044520077</v></c><c r="G232" s="72"><f>IF(OR(A232&gt;&apos;Property Calculator&apos;!$B$70*12,D232&lt;=0),0,MAX(0,MIN(D232,E232-F232)))</f><v>973.56283564761043</v></c><c r="H232" s="126"><v>0</v></c><c r="I232" s="72"><f>IF(A232&gt;&apos;Property Calculator&apos;!$B$70*12,0,MAX(0,D232-G232-J232))</f><v>155505.58703127835</v></c><c r="J232" s="72"><f>IF(OR(A232&gt;&apos;Property Calculator&apos;!$B$70*12,D232&lt;=0),0,MIN(H232,MAX(0,D232-G232)))</f><v>0</v></c></row><row r="233" spans="1:10" x14ac:dyDescent="0.25"><c r="A233"><v>230</v></c><c r="B233"><f t="shared" si="3"/>&lt;v&gt;20&lt;/v&gt;&lt;/c&gt;&lt;c r=&quot;C233&quot; s=&quot;37&quot;&gt;&lt;f&gt;IF(A233&gt;&apos;Property Calculator&apos;!$B$70*12,0,IF(AND(&apos;Property Calculator&apos;!$B$72=1,B233&gt;&apos;Property Calculator&apos;!$B$69),&apos;Property Calculator&apos;!$B$73,&apos;Property Calculator&apos;!$B$65))</f><v>3.5000000000000003E-2</v></c><c r="D233" s="72"><f>IF(A233&gt;&apos;Property Calculator&apos;!$B$70*12,0,I232)</f><v>155505.58703127835</v></c><c r="E233" s="72"><f>IF(OR(A233&gt;&apos;Property Calculator&apos;!$B$70*12,D233&lt;=0),0,IF(AND(&apos;Property Calculator&apos;!$B$72=1,B233&gt;&apos;Property Calculator&apos;!$B$69),MIN(D233*C233/12+&apos;Property Calculator&apos;!$B$74/12,D233*(1+C233/12)),MIN(&apos;Property Calculator&apos;!$B$67,D233*(1+C233/12))))</f><v>1429.9603560928113</v></c><c r="F233" s="72"><f>IF(OR(A233&gt;&apos;Property Calculator&apos;!$B$70*12,D233&lt;=0),0,D233*C233/12)</f><v>453.55796217456191</v></c><c r="G233" s="72"><f>IF(OR(A233&gt;&apos;Property Calculator&apos;!$B$70*12,D233&lt;=0),0,MAX(0,MIN(D233,E233-F233)))</f><v>976.40239391824935</v></c><c r="H233" s="126"><v>0</v></c><c r="I233" s="72"><f>IF(A233&gt;&apos;Property Calculator&apos;!$B$70*12,0,MAX(0,D233-G233-J233))</f><v>154529.1846373601</v></c><c r="J233" s="72"><f>IF(OR(A233&gt;&apos;Property Calculator&apos;!$B$70*12,D233&lt;=0),0,MIN(H233,MAX(0,D233-G233)))</f><v>0</v></c></row><row r="234" spans="1:10" x14ac:dyDescent="0.25"><c r="A234"><v>231</v></c><c r="B234"><f t="shared" si="3"/>&lt;v&gt;20&lt;/v&gt;&lt;/c&gt;&lt;c r=&quot;C234&quot; s=&quot;37&quot;&gt;&lt;f&gt;IF(A234&gt;&apos;Property Calculator&apos;!$B$70*12,0,IF(AND(&apos;Property Calculator&apos;!$B$72=1,B234&gt;&apos;Property Calculator&apos;!$B$69),&apos;Property Calculator&apos;!$B$73,&apos;Property Calculator&apos;!$B$65))</f><v>3.5000000000000003E-2</v></c><c r="D234" s="72"><f>IF(A234&gt;&apos;Property Calculator&apos;!$B$70*12,0,I233)</f><v>154529.1846373601</v></c><c r="E234" s="72"><f>IF(OR(A234&gt;&apos;Property Calculator&apos;!$B$70*12,D234&lt;=0),0,IF(AND(&apos;Property Calculator&apos;!$B$72=1,B234&gt;&apos;Property Calculator&apos;!$B$69),MIN(D234*C234/12+&apos;Property Calculator&apos;!$B$74/12,D234*(1+C234/12)),MIN(&apos;Property Calculator&apos;!$B$67,D234*(1+C234/12))))</f><v>1429.9603560928113</v></c><c r="F234" s="72"><f>IF(OR(A234&gt;&apos;Property Calculator&apos;!$B$70*12,D234&lt;=0),0,D234*C234/12)</f><v>450.71012185896706</v></c><c r="G234" s="72"><f>IF(OR(A234&gt;&apos;Property Calculator&apos;!$B$70*12,D234&lt;=0),0,MAX(0,MIN(D234,E234-F234)))</f><v>979.25023423384414</v></c><c r="H234" s="126"><v>0</v></c><c r="I234" s="72"><f>IF(A234&gt;&apos;Property Calculator&apos;!$B$70*12,0,MAX(0,D234-G234-J234))</f><v>153549.93440312624</v></c><c r="J234" s="72"><f>IF(OR(A234&gt;&apos;Property Calculator&apos;!$B$70*12,D234&lt;=0),0,MIN(H234,MAX(0,D234-G234)))</f><v>0</v></c></row><row r="235" spans="1:10" x14ac:dyDescent="0.25"><c r="A235"><v>232</v></c><c r="B235"><f t="shared" si="3"/>&lt;v&gt;20&lt;/v&gt;&lt;/c&gt;&lt;c r=&quot;C235&quot; s=&quot;37&quot;&gt;&lt;f&gt;IF(A235&gt;&apos;Property Calculator&apos;!$B$70*12,0,IF(AND(&apos;Property Calculator&apos;!$B$72=1,B235&gt;&apos;Property Calculator&apos;!$B$69),&apos;Property Calculator&apos;!$B$73,&apos;Property Calculator&apos;!$B$65))</f><v>3.5000000000000003E-2</v></c><c r="D235" s="72"><f>IF(A235&gt;&apos;Property Calculator&apos;!$B$70*12,0,I234)</f><v>153549.93440312624</v></c><c r="E235" s="72"><f>IF(OR(A235&gt;&apos;Property Calculator&apos;!$B$70*12,D235&lt;=0),0,IF(AND(&apos;Property Calculator&apos;!$B$72=1,B235&gt;&apos;Property Calculator&apos;!$B$69),MIN(D235*C235/12+&apos;Property Calculator&apos;!$B$74/12,D235*(1+C235/12)),MIN(&apos;Property Calculator&apos;!$B$67,D235*(1+C235/12))))</f><v>1429.9603560928113</v></c><c r="F235" s="72"><f>IF(OR(A235&gt;&apos;Property Calculator&apos;!$B$70*12,D235&lt;=0),0,D235*C235/12)</f><v>447.85397534245158</v></c><c r="G235" s="72"><f>IF(OR(A235&gt;&apos;Property Calculator&apos;!$B$70*12,D235&lt;=0),0,MAX(0,MIN(D235,E235-F235)))</f><v>982.10638075035968</v></c><c r="H235" s="126"><v>0</v></c><c r="I235" s="72"><f>IF(A235&gt;&apos;Property Calculator&apos;!$B$70*12,0,MAX(0,D235-G235-J235))</f><v>152567.82802237588</v></c><c r="J235" s="72"><f>IF(OR(A235&gt;&apos;Property Calculator&apos;!$B$70*12,D235&lt;=0),0,MIN(H235,MAX(0,D235-G235)))</f><v>0</v></c></row><row r="236" spans="1:10" x14ac:dyDescent="0.25"><c r="A236"><v>233</v></c><c r="B236"><f t="shared" si="3"/>&lt;v&gt;20&lt;/v&gt;&lt;/c&gt;&lt;c r=&quot;C236&quot; s=&quot;37&quot;&gt;&lt;f&gt;IF(A236&gt;&apos;Property Calculator&apos;!$B$70*12,0,IF(AND(&apos;Property Calculator&apos;!$B$72=1,B236&gt;&apos;Property Calculator&apos;!$B$69),&apos;Property Calculator&apos;!$B$73,&apos;Property Calculator&apos;!$B$65))</f><v>3.5000000000000003E-2</v></c><c r="D236" s="72"><f>IF(A236&gt;&apos;Property Calculator&apos;!$B$70*12,0,I235)</f><v>152567.82802237588</v></c><c r="E236" s="72"><f>IF(OR(A236&gt;&apos;Property Calculator&apos;!$B$70*12,D236&lt;=0),0,IF(AND(&apos;Property Calculator&apos;!$B$72=1,B236&gt;&apos;Property Calculator&apos;!$B$69),MIN(D236*C236/12+&apos;Property Calculator&apos;!$B$74/12,D236*(1+C236/12)),MIN(&apos;Property Calculator&apos;!$B$67,D236*(1+C236/12))))</f><v>1429.9603560928113</v></c><c r="F236" s="72"><f>IF(OR(A236&gt;&apos;Property Calculator&apos;!$B$70*12,D236&lt;=0),0,D236*C236/12)</f><v>444.98949839859637</v></c><c r="G236" s="72"><f>IF(OR(A236&gt;&apos;Property Calculator&apos;!$B$70*12,D236&lt;=0),0,MAX(0,MIN(D236,E236-F236)))</f><v>984.97085769421483</v></c><c r="H236" s="126"><v>0</v></c><c r="I236" s="72"><f>IF(A236&gt;&apos;Property Calculator&apos;!$B$70*12,0,MAX(0,D236-G236-J236))</f><v>151582.85716468166</v></c><c r="J236" s="72"><f>IF(OR(A236&gt;&apos;Property Calculator&apos;!$B$70*12,D236&lt;=0),0,MIN(H236,MAX(0,D236-G236)))</f><v>0</v></c></row><row r="237" spans="1:10" x14ac:dyDescent="0.25"><c r="A237"><v>234</v></c><c r="B237"><f t="shared" si="3"/>&lt;v&gt;20&lt;/v&gt;&lt;/c&gt;&lt;c r=&quot;C237&quot; s=&quot;37&quot;&gt;&lt;f&gt;IF(A237&gt;&apos;Property Calculator&apos;!$B$70*12,0,IF(AND(&apos;Property Calculator&apos;!$B$72=1,B237&gt;&apos;Property Calculator&apos;!$B$69),&apos;Property Calculator&apos;!$B$73,&apos;Property Calculator&apos;!$B$65))</f><v>3.5000000000000003E-2</v></c><c r="D237" s="72"><f>IF(A237&gt;&apos;Property Calculator&apos;!$B$70*12,0,I236)</f><v>151582.85716468166</v></c><c r="E237" s="72"><f>IF(OR(A237&gt;&apos;Property Calculator&apos;!$B$70*12,D237&lt;=0),0,IF(AND(&apos;Property Calculator&apos;!$B$72=1,B237&gt;&apos;Property Calculator&apos;!$B$69),MIN(D237*C237/12+&apos;Property Calculator&apos;!$B$74/12,D237*(1+C237/12)),MIN(&apos;Property Calculator&apos;!$B$67,D237*(1+C237/12))))</f><v>1429.9603560928113</v></c><c r="F237" s="72"><f>IF(OR(A237&gt;&apos;Property Calculator&apos;!$B$70*12,D237&lt;=0),0,D237*C237/12)</f><v>442.11666673032158</v></c><c r="G237" s="72"><f>IF(OR(A237&gt;&apos;Property Calculator&apos;!$B$70*12,D237&lt;=0),0,MAX(0,MIN(D237,E237-F237)))</f><v>987.84368936248961</v></c><c r="H237" s="126"><v>0</v></c><c r="I237" s="72"><f>IF(A237&gt;&apos;Property Calculator&apos;!$B$70*12,0,MAX(0,D237-G237-J237))</f><v>150595.01347531917</v></c><c r="J237" s="72"><f>IF(OR(A237&gt;&apos;Property Calculator&apos;!$B$70*12,D237&lt;=0),0,MIN(H237,MAX(0,D237-G237)))</f><v>0</v></c></row><row r="238" spans="1:10" x14ac:dyDescent="0.25"><c r="A238"><v>235</v></c><c r="B238"><f t="shared" si="3"/>&lt;v&gt;20&lt;/v&gt;&lt;/c&gt;&lt;c r=&quot;C238&quot; s=&quot;37&quot;&gt;&lt;f&gt;IF(A238&gt;&apos;Property Calculator&apos;!$B$70*12,0,IF(AND(&apos;Property Calculator&apos;!$B$72=1,B238&gt;&apos;Property Calculator&apos;!$B$69),&apos;Property Calculator&apos;!$B$73,&apos;Property Calculator&apos;!$B$65))</f><v>3.5000000000000003E-2</v></c><c r="D238" s="72"><f>IF(A238&gt;&apos;Property Calculator&apos;!$B$70*12,0,I237)</f><v>150595.01347531917</v></c><c r="E238" s="72"><f>IF(OR(A238&gt;&apos;Property Calculator&apos;!$B$70*12,D238&lt;=0),0,IF(AND(&apos;Property Calculator&apos;!$B$72=1,B238&gt;&apos;Property Calculator&apos;!$B$69),MIN(D238*C238/12+&apos;Property Calculator&apos;!$B$74/12,D238*(1+C238/12)),MIN(&apos;Property Calculator&apos;!$B$67,D238*(1+C238/12))))</f><v>1429.9603560928113</v></c><c r="F238" s="72"><f>IF(OR(A238&gt;&apos;Property Calculator&apos;!$B$70*12,D238&lt;=0),0,D238*C238/12)</f><v>439.23545596968097</v></c><c r="G238" s="72"><f>IF(OR(A238&gt;&apos;Property Calculator&apos;!$B$70*12,D238&lt;=0),0,MAX(0,MIN(D238,E238-F238)))</f><v>990.72490012313028</v></c><c r="H238" s="126"><v>0</v></c><c r="I238" s="72"><f>IF(A238&gt;&apos;Property Calculator&apos;!$B$70*12,0,MAX(0,D238-G238-J238))</f><v>149604.28857519603</v></c><c r="J238" s="72"><f>IF(OR(A238&gt;&apos;Property Calculator&apos;!$B$70*12,D238&lt;=0),0,MIN(H238,MAX(0,D238-G238)))</f><v>0</v></c></row><row r="239" spans="1:10" x14ac:dyDescent="0.25"><c r="A239"><v>236</v></c><c r="B239"><f t="shared" si="3"/>&lt;v&gt;20&lt;/v&gt;&lt;/c&gt;&lt;c r=&quot;C239&quot; s=&quot;37&quot;&gt;&lt;f&gt;IF(A239&gt;&apos;Property Calculator&apos;!$B$70*12,0,IF(AND(&apos;Property Calculator&apos;!$B$72=1,B239&gt;&apos;Property Calculator&apos;!$B$69),&apos;Property Calculator&apos;!$B$73,&apos;Property Calculator&apos;!$B$65))</f><v>3.5000000000000003E-2</v></c><c r="D239" s="72"><f>IF(A239&gt;&apos;Property Calculator&apos;!$B$70*12,0,I238)</f><v>149604.28857519603</v></c><c r="E239" s="72"><f>IF(OR(A239&gt;&apos;Property Calculator&apos;!$B$70*12,D239&lt;=0),0,IF(AND(&apos;Property Calculator&apos;!$B$72=1,B239&gt;&apos;Property Calculator&apos;!$B$69),MIN(D239*C239/12+&apos;Property Calculator&apos;!$B$74/12,D239*(1+C239/12)),MIN(&apos;Property Calculator&apos;!$B$67,D239*(1+C239/12))))</f><v>1429.9603560928113</v></c><c r="F239" s="72"><f>IF(OR(A239&gt;&apos;Property Calculator&apos;!$B$70*12,D239&lt;=0),0,D239*C239/12)</f><v>436.34584167765507</v></c><c r="G239" s="72"><f>IF(OR(A239&gt;&apos;Property Calculator&apos;!$B$70*12,D239&lt;=0),0,MAX(0,MIN(D239,E239-F239)))</f><v>993.61451441515624</v></c><c r="H239" s="126"><v>0</v></c><c r="I239" s="72"><f>IF(A239&gt;&apos;Property Calculator&apos;!$B$70*12,0,MAX(0,D239-G239-J239))</f><v>148610.67406078088</v></c><c r="J239" s="72"><f>IF(OR(A239&gt;&apos;Property Calculator&apos;!$B$70*12,D239&lt;=0),0,MIN(H239,MAX(0,D239-G239)))</f><v>0</v></c></row><row r="240" spans="1:10" x14ac:dyDescent="0.25"><c r="A240"><v>237</v></c><c r="B240"><f t="shared" si="3"/>&lt;v&gt;20&lt;/v&gt;&lt;/c&gt;&lt;c r=&quot;C240&quot; s=&quot;37&quot;&gt;&lt;f&gt;IF(A240&gt;&apos;Property Calculator&apos;!$B$70*12,0,IF(AND(&apos;Property Calculator&apos;!$B$72=1,B240&gt;&apos;Property Calculator&apos;!$B$69),&apos;Property Calculator&apos;!$B$73,&apos;Property Calculator&apos;!$B$65))</f><v>3.5000000000000003E-2</v></c><c r="D240" s="72"><f>IF(A240&gt;&apos;Property Calculator&apos;!$B$70*12,0,I239)</f><v>148610.67406078088</v></c><c r="E240" s="72"><f>IF(OR(A240&gt;&apos;Property Calculator&apos;!$B$70*12,D240&lt;=0),0,IF(AND(&apos;Property Calculator&apos;!$B$72=1,B240&gt;&apos;Property Calculator&apos;!$B$69),MIN(D240*C240/12+&apos;Property Calculator&apos;!$B$74/12,D240*(1+C240/12)),MIN(&apos;Property Calculator&apos;!$B$67,D240*(1+C240/12))))</f><v>1429.9603560928113</v></c><c r="F240" s="72"><f>IF(OR(A240&gt;&apos;Property Calculator&apos;!$B$70*12,D240&lt;=0),0,D240*C240/12)</f><v>433.44779934394427</v></c><c r="G240" s="72"><f>IF(OR(A240&gt;&apos;Property Calculator&apos;!$B$70*12,D240&lt;=0),0,MAX(0,MIN(D240,E240-F240)))</f><v>996.51255674886693</v></c><c r="H240" s="126"><v>0</v></c><c r="I240" s="72"><f>IF(A240&gt;&apos;Property Calculator&apos;!$B$70*12,0,MAX(0,D240-G240-J240))</f><v>147614.161504032</v></c><c r="J240" s="72"><f>IF(OR(A240&gt;&apos;Property Calculator&apos;!$B$70*12,D240&lt;=0),0,MIN(H240,MAX(0,D240-G240)))</f><v>0</v></c></row><row r="241" spans="1:10" x14ac:dyDescent="0.25"><c r="A241"><v>238</v></c><c r="B241"><f t="shared" si="3"/>&lt;v&gt;20&lt;/v&gt;&lt;/c&gt;&lt;c r=&quot;C241&quot; s=&quot;37&quot;&gt;&lt;f&gt;IF(A241&gt;&apos;Property Calculator&apos;!$B$70*12,0,IF(AND(&apos;Property Calculator&apos;!$B$72=1,B241&gt;&apos;Property Calculator&apos;!$B$69),&apos;Property Calculator&apos;!$B$73,&apos;Property Calculator&apos;!$B$65))</f><v>3.5000000000000003E-2</v></c><c r="D241" s="72"><f>IF(A241&gt;&apos;Property Calculator&apos;!$B$70*12,0,I240)</f><v>147614.161504032</v></c><c r="E241" s="72"><f>IF(OR(A241&gt;&apos;Property Calculator&apos;!$B$70*12,D241&lt;=0),0,IF(AND(&apos;Property Calculator&apos;!$B$72=1,B241&gt;&apos;Property Calculator&apos;!$B$69),MIN(D241*C241/12+&apos;Property Calculator&apos;!$B$74/12,D241*(1+C241/12)),MIN(&apos;Property Calculator&apos;!$B$67,D241*(1+C241/12))))</f><v>1429.9603560928113</v></c><c r="F241" s="72"><f>IF(OR(A241&gt;&apos;Property Calculator&apos;!$B$70*12,D241&lt;=0),0,D241*C241/12)</f><v>430.54130438676003</v></c><c r="G241" s="72"><f>IF(OR(A241&gt;&apos;Property Calculator&apos;!$B$70*12,D241&lt;=0),0,MAX(0,MIN(D241,E241-F241)))</f><v>999.41905170605128</v></c><c r="H241" s="126"><v>0</v></c><c r="I241" s="72"><f>IF(A241&gt;&apos;Property Calculator&apos;!$B$70*12,0,MAX(0,D241-G241-J241))</f><v>146614.74245232594</v></c><c r="J241" s="72"><f>IF(OR(A241&gt;&apos;Property Calculator&apos;!$B$70*12,D241&lt;=0),0,MIN(H241,MAX(0,D241-G241)))</f><v>0</v></c></row><row r="242" spans="1:10" x14ac:dyDescent="0.25"><c r="A242"><v>239</v></c><c r="B242"><f t="shared" si="3"/>&lt;v&gt;20&lt;/v&gt;&lt;/c&gt;&lt;c r=&quot;C242&quot; s=&quot;37&quot;&gt;&lt;f&gt;IF(A242&gt;&apos;Property Calculator&apos;!$B$70*12,0,IF(AND(&apos;Property Calculator&apos;!$B$72=1,B242&gt;&apos;Property Calculator&apos;!$B$69),&apos;Property Calculator&apos;!$B$73,&apos;Property Calculator&apos;!$B$65))</f><v>3.5000000000000003E-2</v></c><c r="D242" s="72"><f>IF(A242&gt;&apos;Property Calculator&apos;!$B$70*12,0,I241)</f><v>146614.74245232594</v></c><c r="E242" s="72"><f>IF(OR(A242&gt;&apos;Property Calculator&apos;!$B$70*12,D242&lt;=0),0,IF(AND(&apos;Property Calculator&apos;!$B$72=1,B242&gt;&apos;Property Calculator&apos;!$B$69),MIN(D242*C242/12+&apos;Property Calculator&apos;!$B$74/12,D242*(1+C242/12)),MIN(&apos;Property Calculator&apos;!$B$67,D242*(1+C242/12))))</f><v>1429.9603560928113</v></c><c r="F242" s="72"><f>IF(OR(A242&gt;&apos;Property Calculator&apos;!$B$70*12,D242&lt;=0),0,D242*C242/12)</f><v>427.62633215261735</v></c><c r="G242" s="72"><f>IF(OR(A242&gt;&apos;Property Calculator&apos;!$B$70*12,D242&lt;=0),0,MAX(0,MIN(D242,E242-F242)))</f><v>1002.3340239401939</v></c><c r="H242" s="126"><v>0</v></c><c r="I242" s="72"><f>IF(A242&gt;&apos;Property Calculator&apos;!$B$70*12,0,MAX(0,D242-G242-J242))</f><v>145612.40842838574</v></c><c r="J242" s="72"><f>IF(OR(A242&gt;&apos;Property Calculator&apos;!$B$70*12,D242&lt;=0),0,MIN(H242,MAX(0,D242-G242)))</f><v>0</v></c></row><row r="243" spans="1:10" x14ac:dyDescent="0.25"><c r="A243"><v>240</v></c><c r="B243"><f t="shared" si="3"/>&lt;v&gt;20&lt;/v&gt;&lt;/c&gt;&lt;c r=&quot;C243&quot; s=&quot;37&quot;&gt;&lt;f&gt;IF(A243&gt;&apos;Property Calculator&apos;!$B$70*12,0,IF(AND(&apos;Property Calculator&apos;!$B$72=1,B243&gt;&apos;Property Calculator&apos;!$B$69),&apos;Property Calculator&apos;!$B$73,&apos;Property Calculator&apos;!$B$65))</f><v>3.5000000000000003E-2</v></c><c r="D243" s="72"><f>IF(A243&gt;&apos;Property Calculator&apos;!$B$70*12,0,I242)</f><v>145612.40842838574</v></c><c r="E243" s="72"><f>IF(OR(A243&gt;&apos;Property Calculator&apos;!$B$70*12,D243&lt;=0),0,IF(AND(&apos;Property Calculator&apos;!$B$72=1,B243&gt;&apos;Property Calculator&apos;!$B$69),MIN(D243*C243/12+&apos;Property Calculator&apos;!$B$74/12,D243*(1+C243/12)),MIN(&apos;Property Calculator&apos;!$B$67,D243*(1+C243/12))))</f><v>1429.9603560928113</v></c><c r="F243" s="72"><f>IF(OR(A243&gt;&apos;Property Calculator&apos;!$B$70*12,D243&lt;=0),0,D243*C243/12)</f><v>424.70285791612514</v></c><c r="G243" s="72"><f>IF(OR(A243&gt;&apos;Property Calculator&apos;!$B$70*12,D243&lt;=0),0,MAX(0,MIN(D243,E243-F243)))</f><v>1005.2574981766861</v></c><c r="H243" s="126"><v>0</v></c><c r="I243" s="72"><f>IF(A243&gt;&apos;Property Calculator&apos;!$B$70*12,0,MAX(0,D243-G243-J243))</f><v>144607.15093020906</v></c><c r="J243" s="72"><f>IF(OR(A243&gt;&apos;Property Calculator&apos;!$B$70*12,D243&lt;=0),0,MIN(H243,MAX(0,D243-G243)))</f><v>0</v></c></row><row r="244" spans="1:10" x14ac:dyDescent="0.25"><c r="A244"><v>241</v></c><c r="B244"><f t="shared" si="3"/>&lt;v&gt;21&lt;/v&gt;&lt;/c&gt;&lt;c r=&quot;C244&quot; s=&quot;37&quot;&gt;&lt;f&gt;IF(A244&gt;&apos;Property Calculator&apos;!$B$70*12,0,IF(AND(&apos;Property Calculator&apos;!$B$72=1,B244&gt;&apos;Property Calculator&apos;!$B$69),&apos;Property Calculator&apos;!$B$73,&apos;Property Calculator&apos;!$B$65))</f><v>3.5000000000000003E-2</v></c><c r="D244" s="72"><f>IF(A244&gt;&apos;Property Calculator&apos;!$B$70*12,0,I243)</f><v>144607.15093020906</v></c><c r="E244" s="72"><f>IF(OR(A244&gt;&apos;Property Calculator&apos;!$B$70*12,D244&lt;=0),0,IF(AND(&apos;Property Calculator&apos;!$B$72=1,B244&gt;&apos;Property Calculator&apos;!$B$69),MIN(D244*C244/12+&apos;Property Calculator&apos;!$B$74/12,D244*(1+C244/12)),MIN(&apos;Property Calculator&apos;!$B$67,D244*(1+C244/12))))</f><v>1429.9603560928113</v></c><c r="F244" s="72"><f>IF(OR(A244&gt;&apos;Property Calculator&apos;!$B$70*12,D244&lt;=0),0,D244*C244/12)</f><v>421.77085687977643</v></c><c r="G244" s="72"><f>IF(OR(A244&gt;&apos;Property Calculator&apos;!$B$70*12,D244&lt;=0),0,MAX(0,MIN(D244,E244-F244)))</f><v>1008.1894992130349</v></c><c r="H244" s="126"><v>0</v></c><c r="I244" s="72"><f>IF(A244&gt;&apos;Property Calculator&apos;!$B$70*12,0,MAX(0,D244-G244-J244))</f><v>143598.96143099602</v></c><c r="J244" s="72"><f>IF(OR(A244&gt;&apos;Property Calculator&apos;!$B$70*12,D244&lt;=0),0,MIN(H244,MAX(0,D244-G244)))</f><v>0</v></c></row><row r="245" spans="1:10" x14ac:dyDescent="0.25"><c r="A245"><v>242</v></c><c r="B245"><f t="shared" si="3"/>&lt;v&gt;21&lt;/v&gt;&lt;/c&gt;&lt;c r=&quot;C245&quot; s=&quot;37&quot;&gt;&lt;f&gt;IF(A245&gt;&apos;Property Calculator&apos;!$B$70*12,0,IF(AND(&apos;Property Calculator&apos;!$B$72=1,B245&gt;&apos;Property Calculator&apos;!$B$69),&apos;Property Calculator&apos;!$B$73,&apos;Property Calculator&apos;!$B$65))</f><v>3.5000000000000003E-2</v></c><c r="D245" s="72"><f>IF(A245&gt;&apos;Property Calculator&apos;!$B$70*12,0,I244)</f><v>143598.96143099602</v></c><c r="E245" s="72"><f>IF(OR(A245&gt;&apos;Property Calculator&apos;!$B$70*12,D245&lt;=0),0,IF(AND(&apos;Property Calculator&apos;!$B$72=1,B245&gt;&apos;Property Calculator&apos;!$B$69),MIN(D245*C245/12+&apos;Property Calculator&apos;!$B$74/12,D245*(1+C245/12)),MIN(&apos;Property Calculator&apos;!$B$67,D245*(1+C245/12))))</f><v>1429.9603560928113</v></c><c r="F245" s="72"><f>IF(OR(A245&gt;&apos;Property Calculator&apos;!$B$70*12,D245&lt;=0),0,D245*C245/12)</f><v>418.8303041737384</v></c><c r="G245" s="72"><f>IF(OR(A245&gt;&apos;Property Calculator&apos;!$B$70*12,D245&lt;=0),0,MAX(0,MIN(D245,E245-F245)))</f><v>1011.1300519190729</v></c><c r="H245" s="126"><v>0</v></c><c r="I245" s="72"><f>IF(A245&gt;&apos;Property Calculator&apos;!$B$70*12,0,MAX(0,D245-G245-J245))</f><v>142587.83137907693</v></c><c r="J245" s="72"><f>IF(OR(A245&gt;&apos;Property Calculator&apos;!$B$70*12,D245&lt;=0),0,MIN(H245,MAX(0,D245-G245)))</f><v>0</v></c></row><row r="246" spans="1:10" x14ac:dyDescent="0.25"><c r="A246"><v>243</v></c><c r="B246"><f t="shared" si="3"/>&lt;v&gt;21&lt;/v&gt;&lt;/c&gt;&lt;c r=&quot;C246&quot; s=&quot;37&quot;&gt;&lt;f&gt;IF(A246&gt;&apos;Property Calculator&apos;!$B$70*12,0,IF(AND(&apos;Property Calculator&apos;!$B$72=1,B246&gt;&apos;Property Calculator&apos;!$B$69),&apos;Property Calculator&apos;!$B$73,&apos;Property Calculator&apos;!$B$65))</f><v>3.5000000000000003E-2</v></c><c r="D246" s="72"><f>IF(A246&gt;&apos;Property Calculator&apos;!$B$70*12,0,I245)</f><v>142587.83137907693</v></c><c r="E246" s="72"><f>IF(OR(A246&gt;&apos;Property Calculator&apos;!$B$70*12,D246&lt;=0),0,IF(AND(&apos;Property Calculator&apos;!$B$72=1,B246&gt;&apos;Property Calculator&apos;!$B$69),MIN(D246*C246/12+&apos;Property Calculator&apos;!$B$74/12,D246*(1+C246/12)),MIN(&apos;Property Calculator&apos;!$B$67,D246*(1+C246/12))))</f><v>1429.9603560928113</v></c><c r="F246" s="72"><f>IF(OR(A246&gt;&apos;Property Calculator&apos;!$B$70*12,D246&lt;=0),0,D246*C246/12)</f><v>415.88117485564112</v></c><c r="G246" s="72"><f>IF(OR(A246&gt;&apos;Property Calculator&apos;!$B$70*12,D246&lt;=0),0,MAX(0,MIN(D246,E246-F246)))</f><v>1014.0791812371701</v></c><c r="H246" s="126"><v>0</v></c><c r="I246" s="72"><f>IF(A246&gt;&apos;Property Calculator&apos;!$B$70*12,0,MAX(0,D246-G246-J246))</f><v>141573.75219783976</v></c><c r="J246" s="72"><f>IF(OR(A246&gt;&apos;Property Calculator&apos;!$B$70*12,D246&lt;=0),0,MIN(H246,MAX(0,D246-G246)))</f><v>0</v></c></row><row r="247" spans="1:10" x14ac:dyDescent="0.25"><c r="A247"><v>244</v></c><c r="B247"><f t="shared" si="3"/>&lt;v&gt;21&lt;/v&gt;&lt;/c&gt;&lt;c r=&quot;C247&quot; s=&quot;37&quot;&gt;&lt;f&gt;IF(A247&gt;&apos;Property Calculator&apos;!$B$70*12,0,IF(AND(&apos;Property Calculator&apos;!$B$72=1,B247&gt;&apos;Property Calculator&apos;!$B$69),&apos;Property Calculator&apos;!$B$73,&apos;Property Calculator&apos;!$B$65))</f><v>3.5000000000000003E-2</v></c><c r="D247" s="72"><f>IF(A247&gt;&apos;Property Calculator&apos;!$B$70*12,0,I246)</f><v>141573.75219783976</v></c><c r="E247" s="72"><f>IF(OR(A247&gt;&apos;Property Calculator&apos;!$B$70*12,D247&lt;=0),0,IF(AND(&apos;Property Calculator&apos;!$B$72=1,B247&gt;&apos;Property Calculator&apos;!$B$69),MIN(D247*C247/12+&apos;Property Calculator&apos;!$B$74/12,D247*(1+C247/12)),MIN(&apos;Property Calculator&apos;!$B$67,D247*(1+C247/12))))</f><v>1429.9603560928113</v></c><c r="F247" s="72"><f>IF(OR(A247&gt;&apos;Property Calculator&apos;!$B$70*12,D247&lt;=0),0,D247*C247/12)</f><v>412.92344391036596</v></c><c r="G247" s="72"><f>IF(OR(A247&gt;&apos;Property Calculator&apos;!$B$70*12,D247&lt;=0),0,MAX(0,MIN(D247,E247-F247)))</f><v>1017.0369121824453</v></c><c r="H247" s="126"><v>0</v></c><c r="I247" s="72"><f>IF(A247&gt;&apos;Property Calculator&apos;!$B$70*12,0,MAX(0,D247-G247-J247))</f><v>140556.71528565732</v></c><c r="J247" s="72"><f>IF(OR(A247&gt;&apos;Property Calculator&apos;!$B$70*12,D247&lt;=0),0,MIN(H247,MAX(0,D247-G247)))</f><v>0</v></c></row><row r="248" spans="1:10" x14ac:dyDescent="0.25"><c r="A248"><v>245</v></c><c r="B248"><f t="shared" si="3"/>&lt;v&gt;21&lt;/v&gt;&lt;/c&gt;&lt;c r=&quot;C248&quot; s=&quot;37&quot;&gt;&lt;f&gt;IF(A248&gt;&apos;Property Calculator&apos;!$B$70*12,0,IF(AND(&apos;Property Calculator&apos;!$B$72=1,B248&gt;&apos;Property Calculator&apos;!$B$69),&apos;Property Calculator&apos;!$B$73,&apos;Property Calculator&apos;!$B$65))</f><v>3.5000000000000003E-2</v></c><c r="D248" s="72"><f>IF(A248&gt;&apos;Property Calculator&apos;!$B$70*12,0,I247)</f><v>140556.71528565732</v></c><c r="E248" s="72"><f>IF(OR(A248&gt;&apos;Property Calculator&apos;!$B$70*12,D248&lt;=0),0,IF(AND(&apos;Property Calculator&apos;!$B$72=1,B248&gt;&apos;Property Calculator&apos;!$B$69),MIN(D248*C248/12+&apos;Property Calculator&apos;!$B$74/12,D248*(1+C248/12)),MIN(&apos;Property Calculator&apos;!$B$67,D248*(1+C248/12))))</f><v>1429.9603560928113</v></c><c r="F248" s="72"><f>IF(OR(A248&gt;&apos;Property Calculator&apos;!$B$70*12,D248&lt;=0),0,D248*C248/12)</f><v>409.95708624983394</v></c><c r="G248" s="72"><f>IF(OR(A248&gt;&apos;Property Calculator&apos;!$B$70*12,D248&lt;=0),0,MAX(0,MIN(D248,E248-F248)))</f><v>1020.0032698429773</v></c><c r="H248" s="126"><v>0</v></c><c r="I248" s="72"><f>IF(A248&gt;&apos;Property Calculator&apos;!$B$70*12,0,MAX(0,D248-G248-J248))</f><v>139536.71201581435</v></c><c r="J248" s="72"><f>IF(OR(A248&gt;&apos;Property Calculator&apos;!$B$70*12,D248&lt;=0),0,MIN(H248,MAX(0,D248-G248)))</f><v>0</v></c></row><row r="249" spans="1:10" x14ac:dyDescent="0.25"><c r="A249"><v>246</v></c><c r="B249"><f t="shared" si="3"/>&lt;v&gt;21&lt;/v&gt;&lt;/c&gt;&lt;c r=&quot;C249&quot; s=&quot;37&quot;&gt;&lt;f&gt;IF(A249&gt;&apos;Property Calculator&apos;!$B$70*12,0,IF(AND(&apos;Property Calculator&apos;!$B$72=1,B249&gt;&apos;Property Calculator&apos;!$B$69),&apos;Property Calculator&apos;!$B$73,&apos;Property Calculator&apos;!$B$65))</f><v>3.5000000000000003E-2</v></c><c r="D249" s="72"><f>IF(A249&gt;&apos;Property Calculator&apos;!$B$70*12,0,I248)</f><v>139536.71201581435</v></c><c r="E249" s="72"><f>IF(OR(A249&gt;&apos;Property Calculator&apos;!$B$70*12,D249&lt;=0),0,IF(AND(&apos;Property Calculator&apos;!$B$72=1,B249&gt;&apos;Property Calculator&apos;!$B$69),MIN(D249*C249/12+&apos;Property Calculator&apos;!$B$74/12,D249*(1+C249/12)),MIN(&apos;Property Calculator&apos;!$B$67,D249*(1+C249/12))))</f><v>1429.9603560928113</v></c><c r="F249" s="72"><f>IF(OR(A249&gt;&apos;Property Calculator&apos;!$B$70*12,D249&lt;=0),0,D249*C249/12)</f><v>406.98207671279192</v></c><c r="G249" s="72"><f>IF(OR(A249&gt;&apos;Property Calculator&apos;!$B$70*12,D249&lt;=0),0,MAX(0,MIN(D249,E249-F249)))</f><v>1022.9782793800193</v></c><c r="H249" s="126"><v>0</v></c><c r="I249" s="72"><f>IF(A249&gt;&apos;Property Calculator&apos;!$B$70*12,0,MAX(0,D249-G249-J249))</f><v>138513.73373643434</v></c><c r="J249" s="72"><f>IF(OR(A249&gt;&apos;Property Calculator&apos;!$B$70*12,D249&lt;=0),0,MIN(H249,MAX(0,D249-G249)))</f><v>0</v></c></row><row r="250" spans="1:10" x14ac:dyDescent="0.25"><c r="A250"><v>247</v></c><c r="B250"><f t="shared" si="3"/>&lt;v&gt;21&lt;/v&gt;&lt;/c&gt;&lt;c r=&quot;C250&quot; s=&quot;37&quot;&gt;&lt;f&gt;IF(A250&gt;&apos;Property Calculator&apos;!$B$70*12,0,IF(AND(&apos;Property Calculator&apos;!$B$72=1,B250&gt;&apos;Property Calculator&apos;!$B$69),&apos;Property Calculator&apos;!$B$73,&apos;Property Calculator&apos;!$B$65))</f><v>3.5000000000000003E-2</v></c><c r="D250" s="72"><f>IF(A250&gt;&apos;Property Calculator&apos;!$B$70*12,0,I249)</f><v>138513.73373643434</v></c><c r="E250" s="72"><f>IF(OR(A250&gt;&apos;Property Calculator&apos;!$B$70*12,D250&lt;=0),0,IF(AND(&apos;Property Calculator&apos;!$B$72=1,B250&gt;&apos;Property Calculator&apos;!$B$69),MIN(D250*C250/12+&apos;Property Calculator&apos;!$B$74/12,D250*(1+C250/12)),MIN(&apos;Property Calculator&apos;!$B$67,D250*(1+C250/12))))</f><v>1429.9603560928113</v></c><c r="F250" s="72"><f>IF(OR(A250&gt;&apos;Property Calculator&apos;!$B$70*12,D250&lt;=0),0,D250*C250/12)</f><v>403.99839006460019</v></c><c r="G250" s="72"><f>IF(OR(A250&gt;&apos;Property Calculator&apos;!$B$70*12,D250&lt;=0),0,MAX(0,MIN(D250,E250-F250)))</f><v>1025.961966028211</v></c><c r="H250" s="126"><v>0</v></c><c r="I250" s="72"><f>IF(A250&gt;&apos;Property Calculator&apos;!$B$70*12,0,MAX(0,D250-G250-J250))</f><v>137487.77177040614</v></c><c r="J250" s="72"><f>IF(OR(A250&gt;&apos;Property Calculator&apos;!$B$70*12,D250&lt;=0),0,MIN(H250,MAX(0,D250-G250)))</f><v>0</v></c></row><row r="251" spans="1:10" x14ac:dyDescent="0.25"><c r="A251"><v>248</v></c><c r="B251"><f t="shared" si="3"/>&lt;v&gt;21&lt;/v&gt;&lt;/c&gt;&lt;c r=&quot;C251&quot; s=&quot;37&quot;&gt;&lt;f&gt;IF(A251&gt;&apos;Property Calculator&apos;!$B$70*12,0,IF(AND(&apos;Property Calculator&apos;!$B$72=1,B251&gt;&apos;Property Calculator&apos;!$B$69),&apos;Property Calculator&apos;!$B$73,&apos;Property Calculator&apos;!$B$65))</f><v>3.5000000000000003E-2</v></c><c r="D251" s="72"><f>IF(A251&gt;&apos;Property Calculator&apos;!$B$70*12,0,I250)</f><v>137487.77177040614</v></c><c r="E251" s="72"><f>IF(OR(A251&gt;&apos;Property Calculator&apos;!$B$70*12,D251&lt;=0),0,IF(AND(&apos;Property Calculator&apos;!$B$72=1,B251&gt;&apos;Property Calculator&apos;!$B$69),MIN(D251*C251/12+&apos;Property Calculator&apos;!$B$74/12,D251*(1+C251/12)),MIN(&apos;Property Calculator&apos;!$B$67,D251*(1+C251/12))))</f><v>1429.9603560928113</v></c><c r="F251" s="72"><f>IF(OR(A251&gt;&apos;Property Calculator&apos;!$B$70*12,D251&lt;=0),0,D251*C251/12)</f><v>401.00600099701796</v></c><c r="G251" s="72"><f>IF(OR(A251&gt;&apos;Property Calculator&apos;!$B$70*12,D251&lt;=0),0,MAX(0,MIN(D251,E251-F251)))</f><v>1028.9543550957933</v></c><c r="H251" s="126"><v>0</v></c><c r="I251" s="72"><f>IF(A251&gt;&apos;Property Calculator&apos;!$B$70*12,0,MAX(0,D251-G251-J251))</f><v>136458.81741531033</v></c><c r="J251" s="72"><f>IF(OR(A251&gt;&apos;Property Calculator&apos;!$B$70*12,D251&lt;=0),0,MIN(H251,MAX(0,D251-G251)))</f><v>0</v></c></row><row r="252" spans="1:10" x14ac:dyDescent="0.25"><c r="A252"><v>249</v></c><c r="B252"><f t="shared" si="3"/>&lt;v&gt;21&lt;/v&gt;&lt;/c&gt;&lt;c r=&quot;C252&quot; s=&quot;37&quot;&gt;&lt;f&gt;IF(A252&gt;&apos;Property Calculator&apos;!$B$70*12,0,IF(AND(&apos;Property Calculator&apos;!$B$72=1,B252&gt;&apos;Property Calculator&apos;!$B$69),&apos;Property Calculator&apos;!$B$73,&apos;Property Calculator&apos;!$B$65))</f><v>3.5000000000000003E-2</v></c><c r="D252" s="72"><f>IF(A252&gt;&apos;Property Calculator&apos;!$B$70*12,0,I251)</f><v>136458.81741531033</v></c><c r="E252" s="72"><f>IF(OR(A252&gt;&apos;Property Calculator&apos;!$B$70*12,D252&lt;=0),0,IF(AND(&apos;Property Calculator&apos;!$B$72=1,B252&gt;&apos;Property Calculator&apos;!$B$69),MIN(D252*C252/12+&apos;Property Calculator&apos;!$B$74/12,D252*(1+C252/12)),MIN(&apos;Property Calculator&apos;!$B$67,D252*(1+C252/12))))</f><v>1429.9603560928113</v></c><c r="F252" s="72"><f>IF(OR(A252&gt;&apos;Property Calculator&apos;!$B$70*12,D252&lt;=0),0,D252*C252/12)</f><v>398.00488412798853</v></c><c r="G252" s="72"><f>IF(OR(A252&gt;&apos;Property Calculator&apos;!$B$70*12,D252&lt;=0),0,MAX(0,MIN(D252,E252-F252)))</f><v>1031.9554719648227</v></c><c r="H252" s="126"><v>0</v></c><c r="I252" s="72"><f>IF(A252&gt;&apos;Property Calculator&apos;!$B$70*12,0,MAX(0,D252-G252-J252))</f><v>135426.86194334552</v></c><c r="J252" s="72"><f>IF(OR(A252&gt;&apos;Property Calculator&apos;!$B$70*12,D252&lt;=0),0,MIN(H252,MAX(0,D252-G252)))</f><v>0</v></c></row><row r="253" spans="1:10" x14ac:dyDescent="0.25"><c r="A253"><v>250</v></c><c r="B253"><f t="shared" si="3"/>&lt;v&gt;21&lt;/v&gt;&lt;/c&gt;&lt;c r=&quot;C253&quot; s=&quot;37&quot;&gt;&lt;f&gt;IF(A253&gt;&apos;Property Calculator&apos;!$B$70*12,0,IF(AND(&apos;Property Calculator&apos;!$B$72=1,B253&gt;&apos;Property Calculator&apos;!$B$69),&apos;Property Calculator&apos;!$B$73,&apos;Property Calculator&apos;!$B$65))</f><v>3.5000000000000003E-2</v></c><c r="D253" s="72"><f>IF(A253&gt;&apos;Property Calculator&apos;!$B$70*12,0,I252)</f><v>135426.86194334552</v></c><c r="E253" s="72"><f>IF(OR(A253&gt;&apos;Property Calculator&apos;!$B$70*12,D253&lt;=0),0,IF(AND(&apos;Property Calculator&apos;!$B$72=1,B253&gt;&apos;Property Calculator&apos;!$B$69),MIN(D253*C253/12+&apos;Property Calculator&apos;!$B$74/12,D253*(1+C253/12)),MIN(&apos;Property Calculator&apos;!$B$67,D253*(1+C253/12))))</f><v>1429.9603560928113</v></c><c r="F253" s="72"><f>IF(OR(A253&gt;&apos;Property Calculator&apos;!$B$70*12,D253&lt;=0),0,D253*C253/12)</f><v>394.99501400142441</v></c><c r="G253" s="72"><f>IF(OR(A253&gt;&apos;Property Calculator&apos;!$B$70*12,D253&lt;=0),0,MAX(0,MIN(D253,E253-F253)))</f><v>1034.9653420913869</v></c><c r="H253" s="126"><v>0</v></c><c r="I253" s="72"><f>IF(A253&gt;&apos;Property Calculator&apos;!$B$70*12,0,MAX(0,D253-G253-J253))</f><v>134391.89660125412</v></c><c r="J253" s="72"><f>IF(OR(A253&gt;&apos;Property Calculator&apos;!$B$70*12,D253&lt;=0),0,MIN(H253,MAX(0,D253-G253)))</f><v>0</v></c></row><row r="254" spans="1:10" x14ac:dyDescent="0.25"><c r="A254"><v>251</v></c><c r="B254"><f t="shared" si="3"/>&lt;v&gt;21&lt;/v&gt;&lt;/c&gt;&lt;c r=&quot;C254&quot; s=&quot;37&quot;&gt;&lt;f&gt;IF(A254&gt;&apos;Property Calculator&apos;!$B$70*12,0,IF(AND(&apos;Property Calculator&apos;!$B$72=1,B254&gt;&apos;Property Calculator&apos;!$B$69),&apos;Property Calculator&apos;!$B$73,&apos;Property Calculator&apos;!$B$65))</f><v>3.5000000000000003E-2</v></c><c r="D254" s="72"><f>IF(A254&gt;&apos;Property Calculator&apos;!$B$70*12,0,I253)</f><v>134391.89660125412</v></c><c r="E254" s="72"><f>IF(OR(A254&gt;&apos;Property Calculator&apos;!$B$70*12,D254&lt;=0),0,IF(AND(&apos;Property Calculator&apos;!$B$72=1,B254&gt;&apos;Property Calculator&apos;!$B$69),MIN(D254*C254/12+&apos;Property Calculator&apos;!$B$74/12,D254*(1+C254/12)),MIN(&apos;Property Calculator&apos;!$B$67,D254*(1+C254/12))))</f><v>1429.9603560928113</v></c><c r="F254" s="72"><f>IF(OR(A254&gt;&apos;Property Calculator&apos;!$B$70*12,D254&lt;=0),0,D254*C254/12)</f><v>391.97636508699117</v></c><c r="G254" s="72"><f>IF(OR(A254&gt;&apos;Property Calculator&apos;!$B$70*12,D254&lt;=0),0,MAX(0,MIN(D254,E254-F254)))</f><v>1037.9839910058201</v></c><c r="H254" s="126"><v>0</v></c><c r="I254" s="72"><f>IF(A254&gt;&apos;Property Calculator&apos;!$B$70*12,0,MAX(0,D254-G254-J254))</f><v>133353.91261024831</v></c><c r="J254" s="72"><f>IF(OR(A254&gt;&apos;Property Calculator&apos;!$B$70*12,D254&lt;=0),0,MIN(H254,MAX(0,D254-G254)))</f><v>0</v></c></row><row r="255" spans="1:10" x14ac:dyDescent="0.25"><c r="A255"><v>252</v></c><c r="B255"><f t="shared" si="3"/>&lt;v&gt;21&lt;/v&gt;&lt;/c&gt;&lt;c r=&quot;C255&quot; s=&quot;37&quot;&gt;&lt;f&gt;IF(A255&gt;&apos;Property Calculator&apos;!$B$70*12,0,IF(AND(&apos;Property Calculator&apos;!$B$72=1,B255&gt;&apos;Property Calculator&apos;!$B$69),&apos;Property Calculator&apos;!$B$73,&apos;Property Calculator&apos;!$B$65))</f><v>3.5000000000000003E-2</v></c><c r="D255" s="72"><f>IF(A255&gt;&apos;Property Calculator&apos;!$B$70*12,0,I254)</f><v>133353.91261024831</v></c><c r="E255" s="72"><f>IF(OR(A255&gt;&apos;Property Calculator&apos;!$B$70*12,D255&lt;=0),0,IF(AND(&apos;Property Calculator&apos;!$B$72=1,B255&gt;&apos;Property Calculator&apos;!$B$69),MIN(D255*C255/12+&apos;Property Calculator&apos;!$B$74/12,D255*(1+C255/12)),MIN(&apos;Property Calculator&apos;!$B$67,D255*(1+C255/12))))</f><v>1429.9603560928113</v></c><c r="F255" s="72"><f>IF(OR(A255&gt;&apos;Property Calculator&apos;!$B$70*12,D255&lt;=0),0,D255*C255/12)</f><v>388.94891177989098</v></c><c r="G255" s="72"><f>IF(OR(A255&gt;&apos;Property Calculator&apos;!$B$70*12,D255&lt;=0),0,MAX(0,MIN(D255,E255-F255)))</f><v>1041.0114443129203</v></c><c r="H255" s="126"><v>0</v></c><c r="I255" s="72"><f>IF(A255&gt;&apos;Property Calculator&apos;!$B$70*12,0,MAX(0,D255-G255-J255))</f><v>132312.90116593539</v></c><c r="J255" s="72"><f>IF(OR(A255&gt;&apos;Property Calculator&apos;!$B$70*12,D255&lt;=0),0,MIN(H255,MAX(0,D255-G255)))</f><v>0</v></c></row><row r="256" spans="1:10" x14ac:dyDescent="0.25"><c r="A256"><v>253</v></c><c r="B256"><f t="shared" si="3"/>&lt;v&gt;22&lt;/v&gt;&lt;/c&gt;&lt;c r=&quot;C256&quot; s=&quot;37&quot;&gt;&lt;f&gt;IF(A256&gt;&apos;Property Calculator&apos;!$B$70*12,0,IF(AND(&apos;Property Calculator&apos;!$B$72=1,B256&gt;&apos;Property Calculator&apos;!$B$69),&apos;Property Calculator&apos;!$B$73,&apos;Property Calculator&apos;!$B$65))</f><v>3.5000000000000003E-2</v></c><c r="D256" s="72"><f>IF(A256&gt;&apos;Property Calculator&apos;!$B$70*12,0,I255)</f><v>132312.90116593539</v></c><c r="E256" s="72"><f>IF(OR(A256&gt;&apos;Property Calculator&apos;!$B$70*12,D256&lt;=0),0,IF(AND(&apos;Property Calculator&apos;!$B$72=1,B256&gt;&apos;Property Calculator&apos;!$B$69),MIN(D256*C256/12+&apos;Property Calculator&apos;!$B$74/12,D256*(1+C256/12)),MIN(&apos;Property Calculator&apos;!$B$67,D256*(1+C256/12))))</f><v>1429.9603560928113</v></c><c r="F256" s="72"><f>IF(OR(A256&gt;&apos;Property Calculator&apos;!$B$70*12,D256&lt;=0),0,D256*C256/12)</f><v>385.91262840064491</v></c><c r="G256" s="72"><f>IF(OR(A256&gt;&apos;Property Calculator&apos;!$B$70*12,D256&lt;=0),0,MAX(0,MIN(D256,E256-F256)))</f><v>1044.0477276921663</v></c><c r="H256" s="126"><v>0</v></c><c r="I256" s="72"><f>IF(A256&gt;&apos;Property Calculator&apos;!$B$70*12,0,MAX(0,D256-G256-J256))</f><v>131268.85343824321</v></c><c r="J256" s="72"><f>IF(OR(A256&gt;&apos;Property Calculator&apos;!$B$70*12,D256&lt;=0),0,MIN(H256,MAX(0,D256-G256)))</f><v>0</v></c></row><row r="257" spans="1:10" x14ac:dyDescent="0.25"><c r="A257"><v>254</v></c><c r="B257"><f t="shared" si="3"/>&lt;v&gt;22&lt;/v&gt;&lt;/c&gt;&lt;c r=&quot;C257&quot; s=&quot;37&quot;&gt;&lt;f&gt;IF(A257&gt;&apos;Property Calculator&apos;!$B$70*12,0,IF(AND(&apos;Property Calculator&apos;!$B$72=1,B257&gt;&apos;Property Calculator&apos;!$B$69),&apos;Property Calculator&apos;!$B$73,&apos;Property Calculator&apos;!$B$65))</f><v>3.5000000000000003E-2</v></c><c r="D257" s="72"><f>IF(A257&gt;&apos;Property Calculator&apos;!$B$70*12,0,I256)</f><v>131268.85343824321</v></c><c r="E257" s="72"><f>IF(OR(A257&gt;&apos;Property Calculator&apos;!$B$70*12,D257&lt;=0),0,IF(AND(&apos;Property Calculator&apos;!$B$72=1,B257&gt;&apos;Property Calculator&apos;!$B$69),MIN(D257*C257/12+&apos;Property Calculator&apos;!$B$74/12,D257*(1+C257/12)),MIN(&apos;Property Calculator&apos;!$B$67,D257*(1+C257/12))))</f><v>1429.9603560928113</v></c><c r="F257" s="72"><f>IF(OR(A257&gt;&apos;Property Calculator&apos;!$B$70*12,D257&lt;=0),0,D257*C257/12)</f><v>382.86748919487604</v></c><c r="G257" s="72"><f>IF(OR(A257&gt;&apos;Property Calculator&apos;!$B$70*12,D257&lt;=0),0,MAX(0,MIN(D257,E257-F257)))</f><v>1047.0928668979352</v></c><c r="H257" s="126"><v>0</v></c><c r="I257" s="72"><f>IF(A257&gt;&apos;Property Calculator&apos;!$B$70*12,0,MAX(0,D257-G257-J257))</f><v>130221.76057134528</v></c><c r="J257" s="72"><f>IF(OR(A257&gt;&apos;Property Calculator&apos;!$B$70*12,D257&lt;=0),0,MIN(H257,MAX(0,D257-G257)))</f><v>0</v></c></row><row r="258" spans="1:10" x14ac:dyDescent="0.25"><c r="A258"><v>255</v></c><c r="B258"><f t="shared" si="3"/>&lt;v&gt;22&lt;/v&gt;&lt;/c&gt;&lt;c r=&quot;C258&quot; s=&quot;37&quot;&gt;&lt;f&gt;IF(A258&gt;&apos;Property Calculator&apos;!$B$70*12,0,IF(AND(&apos;Property Calculator&apos;!$B$72=1,B258&gt;&apos;Property Calculator&apos;!$B$69),&apos;Property Calculator&apos;!$B$73,&apos;Property Calculator&apos;!$B$65))</f><v>3.5000000000000003E-2</v></c><c r="D258" s="72"><f>IF(A258&gt;&apos;Property Calculator&apos;!$B$70*12,0,I257)</f><v>130221.76057134528</v></c><c r="E258" s="72"><f>IF(OR(A258&gt;&apos;Property Calculator&apos;!$B$70*12,D258&lt;=0),0,IF(AND(&apos;Property Calculator&apos;!$B$72=1,B258&gt;&apos;Property Calculator&apos;!$B$69),MIN(D258*C258/12+&apos;Property Calculator&apos;!$B$74/12,D258*(1+C258/12)),MIN(&apos;Property Calculator&apos;!$B$67,D258*(1+C258/12))))</f><v>1429.9603560928113</v></c><c r="F258" s="72"><f>IF(OR(A258&gt;&apos;Property Calculator&apos;!$B$70*12,D258&lt;=0),0,D258*C258/12)</f><v>379.81346833309044</v></c><c r="G258" s="72"><f>IF(OR(A258&gt;&apos;Property Calculator&apos;!$B$70*12,D258&lt;=0),0,MAX(0,MIN(D258,E258-F258)))</f><v>1050.1468877597208</v></c><c r="H258" s="126"><v>0</v></c><c r="I258" s="72"><f>IF(A258&gt;&apos;Property Calculator&apos;!$B$70*12,0,MAX(0,D258-G258-J258))</f><v>129171.61368358556</v></c><c r="J258" s="72"><f>IF(OR(A258&gt;&apos;Property Calculator&apos;!$B$70*12,D258&lt;=0),0,MIN(H258,MAX(0,D258-G258)))</f><v>0</v></c></row><row r="259" spans="1:10" x14ac:dyDescent="0.25"><c r="A259"><v>256</v></c><c r="B259"><f t="shared" si="3"/>&lt;v&gt;22&lt;/v&gt;&lt;/c&gt;&lt;c r=&quot;C259&quot; s=&quot;37&quot;&gt;&lt;f&gt;IF(A259&gt;&apos;Property Calculator&apos;!$B$70*12,0,IF(AND(&apos;Property Calculator&apos;!$B$72=1,B259&gt;&apos;Property Calculator&apos;!$B$69),&apos;Property Calculator&apos;!$B$73,&apos;Property Calculator&apos;!$B$65))</f><v>3.5000000000000003E-2</v></c><c r="D259" s="72"><f>IF(A259&gt;&apos;Property Calculator&apos;!$B$70*12,0,I258)</f><v>129171.61368358556</v></c><c r="E259" s="72"><f>IF(OR(A259&gt;&apos;Property Calculator&apos;!$B$70*12,D259&lt;=0),0,IF(AND(&apos;Property Calculator&apos;!$B$72=1,B259&gt;&apos;Property Calculator&apos;!$B$69),MIN(D259*C259/12+&apos;Property Calculator&apos;!$B$74/12,D259*(1+C259/12)),MIN(&apos;Property Calculator&apos;!$B$67,D259*(1+C259/12))))</f><v>1429.9603560928113</v></c><c r="F259" s="72"><f>IF(OR(A259&gt;&apos;Property Calculator&apos;!$B$70*12,D259&lt;=0),0,D259*C259/12)</f><v>376.75053991045792</v></c><c r="G259" s="72"><f>IF(OR(A259&gt;&apos;Property Calculator&apos;!$B$70*12,D259&lt;=0),0,MAX(0,MIN(D259,E259-F259)))</f><v>1053.2098161823533</v></c><c r="H259" s="126"><v>0</v></c><c r="I259" s="72"><f>IF(A259&gt;&apos;Property Calculator&apos;!$B$70*12,0,MAX(0,D259-G259-J259))</f><v>128118.40386740321</v></c><c r="J259" s="72"><f>IF(OR(A259&gt;&apos;Property Calculator&apos;!$B$70*12,D259&lt;=0),0,MIN(H259,MAX(0,D259-G259)))</f><v>0</v></c></row><row r="260" spans="1:10" x14ac:dyDescent="0.25"><c r="A260"><v>257</v></c><c r="B260"><f t="shared" ref="B260:B323" si="4">INT((A260-1)/12)+1</f><v>22</v></c><c r="C260" s="37"><f>IF(A260&gt;&apos;Property Calculator&apos;!$B$70*12,0,IF(AND(&apos;Property Calculator&apos;!$B$72=1,B260&gt;&apos;Property Calculator&apos;!$B$69),&apos;Property Calculator&apos;!$B$73,&apos;Property Calculator&apos;!$B$65))</f><v>3.5000000000000003E-2</v></c><c r="D260" s="72"><f>IF(A260&gt;&apos;Property Calculator&apos;!$B$70*12,0,I259)</f><v>128118.40386740321</v></c><c r="E260" s="72"><f>IF(OR(A260&gt;&apos;Property Calculator&apos;!$B$70*12,D260&lt;=0),0,IF(AND(&apos;Property Calculator&apos;!$B$72=1,B260&gt;&apos;Property Calculator&apos;!$B$69),MIN(D260*C260/12+&apos;Property Calculator&apos;!$B$74/12,D260*(1+C260/12)),MIN(&apos;Property Calculator&apos;!$B$67,D260*(1+C260/12))))</f><v>1429.9603560928113</v></c><c r="F260" s="72"><f>IF(OR(A260&gt;&apos;Property Calculator&apos;!$B$70*12,D260&lt;=0),0,D260*C260/12)</f><v>373.6786779465927</v></c><c r="G260" s="72"><f>IF(OR(A260&gt;&apos;Property Calculator&apos;!$B$70*12,D260&lt;=0),0,MAX(0,MIN(D260,E260-F260)))</f><v>1056.2816781462186</v></c><c r="H260" s="126"><v>0</v></c><c r="I260" s="72"><f>IF(A260&gt;&apos;Property Calculator&apos;!$B$70*12,0,MAX(0,D260-G260-J260))</f><v>127062.12218925699</v></c><c r="J260" s="72"><f>IF(OR(A260&gt;&apos;Property Calculator&apos;!$B$70*12,D260&lt;=0),0,MIN(H260,MAX(0,D260-G260)))</f><v>0</v></c></row><row r="261" spans="1:10" x14ac:dyDescent="0.25"><c r="A261"><v>258</v></c><c r="B261"><f t="shared" si="4"/>&lt;v&gt;22&lt;/v&gt;&lt;/c&gt;&lt;c r=&quot;C261&quot; s=&quot;37&quot;&gt;&lt;f&gt;IF(A261&gt;&apos;Property Calculator&apos;!$B$70*12,0,IF(AND(&apos;Property Calculator&apos;!$B$72=1,B261&gt;&apos;Property Calculator&apos;!$B$69),&apos;Property Calculator&apos;!$B$73,&apos;Property Calculator&apos;!$B$65))</f><v>3.5000000000000003E-2</v></c><c r="D261" s="72"><f>IF(A261&gt;&apos;Property Calculator&apos;!$B$70*12,0,I260)</f><v>127062.12218925699</v></c><c r="E261" s="72"><f>IF(OR(A261&gt;&apos;Property Calculator&apos;!$B$70*12,D261&lt;=0),0,IF(AND(&apos;Property Calculator&apos;!$B$72=1,B261&gt;&apos;Property Calculator&apos;!$B$69),MIN(D261*C261/12+&apos;Property Calculator&apos;!$B$74/12,D261*(1+C261/12)),MIN(&apos;Property Calculator&apos;!$B$67,D261*(1+C261/12))))</f><v>1429.9603560928113</v></c><c r="F261" s="72"><f>IF(OR(A261&gt;&apos;Property Calculator&apos;!$B$70*12,D261&lt;=0),0,D261*C261/12)</f><v>370.59785638533293</v></c><c r="G261" s="72"><f>IF(OR(A261&gt;&apos;Property Calculator&apos;!$B$70*12,D261&lt;=0),0,MAX(0,MIN(D261,E261-F261)))</f><v>1059.3624997074783</v></c><c r="H261" s="126"><v>0</v></c><c r="I261" s="72"><f>IF(A261&gt;&apos;Property Calculator&apos;!$B$70*12,0,MAX(0,D261-G261-J261))</f><v>126002.75968954951</v></c><c r="J261" s="72"><f>IF(OR(A261&gt;&apos;Property Calculator&apos;!$B$70*12,D261&lt;=0),0,MIN(H261,MAX(0,D261-G261)))</f><v>0</v></c></row><row r="262" spans="1:10" x14ac:dyDescent="0.25"><c r="A262"><v>259</v></c><c r="B262"><f t="shared" si="4"/>&lt;v&gt;22&lt;/v&gt;&lt;/c&gt;&lt;c r=&quot;C262&quot; s=&quot;37&quot;&gt;&lt;f&gt;IF(A262&gt;&apos;Property Calculator&apos;!$B$70*12,0,IF(AND(&apos;Property Calculator&apos;!$B$72=1,B262&gt;&apos;Property Calculator&apos;!$B$69),&apos;Property Calculator&apos;!$B$73,&apos;Property Calculator&apos;!$B$65))</f><v>3.5000000000000003E-2</v></c><c r="D262" s="72"><f>IF(A262&gt;&apos;Property Calculator&apos;!$B$70*12,0,I261)</f><v>126002.75968954951</v></c><c r="E262" s="72"><f>IF(OR(A262&gt;&apos;Property Calculator&apos;!$B$70*12,D262&lt;=0),0,IF(AND(&apos;Property Calculator&apos;!$B$72=1,B262&gt;&apos;Property Calculator&apos;!$B$69),MIN(D262*C262/12+&apos;Property Calculator&apos;!$B$74/12,D262*(1+C262/12)),MIN(&apos;Property Calculator&apos;!$B$67,D262*(1+C262/12))))</f><v>1429.9603560928113</v></c><c r="F262" s="72"><f>IF(OR(A262&gt;&apos;Property Calculator&apos;!$B$70*12,D262&lt;=0),0,D262*C262/12)</f><v>367.50804909451944</v></c><c r="G262" s="72"><f>IF(OR(A262&gt;&apos;Property Calculator&apos;!$B$70*12,D262&lt;=0),0,MAX(0,MIN(D262,E262-F262)))</f><v>1062.4523069982918</v></c><c r="H262" s="126"><v>0</v></c><c r="I262" s="72"><f>IF(A262&gt;&apos;Property Calculator&apos;!$B$70*12,0,MAX(0,D262-G262-J262))</f><v>124940.30738255121</v></c><c r="J262" s="72"><f>IF(OR(A262&gt;&apos;Property Calculator&apos;!$B$70*12,D262&lt;=0),0,MIN(H262,MAX(0,D262-G262)))</f><v>0</v></c></row><row r="263" spans="1:10" x14ac:dyDescent="0.25"><c r="A263"><v>260</v></c><c r="B263"><f t="shared" si="4"/>&lt;v&gt;22&lt;/v&gt;&lt;/c&gt;&lt;c r=&quot;C263&quot; s=&quot;37&quot;&gt;&lt;f&gt;IF(A263&gt;&apos;Property Calculator&apos;!$B$70*12,0,IF(AND(&apos;Property Calculator&apos;!$B$72=1,B263&gt;&apos;Property Calculator&apos;!$B$69),&apos;Property Calculator&apos;!$B$73,&apos;Property Calculator&apos;!$B$65))</f><v>3.5000000000000003E-2</v></c><c r="D263" s="72"><f>IF(A263&gt;&apos;Property Calculator&apos;!$B$70*12,0,I262)</f><v>124940.30738255121</v></c><c r="E263" s="72"><f>IF(OR(A263&gt;&apos;Property Calculator&apos;!$B$70*12,D263&lt;=0),0,IF(AND(&apos;Property Calculator&apos;!$B$72=1,B263&gt;&apos;Property Calculator&apos;!$B$69),MIN(D263*C263/12+&apos;Property Calculator&apos;!$B$74/12,D263*(1+C263/12)),MIN(&apos;Property Calculator&apos;!$B$67,D263*(1+C263/12))))</f><v>1429.9603560928113</v></c><c r="F263" s="72"><f>IF(OR(A263&gt;&apos;Property Calculator&apos;!$B$70*12,D263&lt;=0),0,D263*C263/12)</f><v>364.40922986577442</v></c><c r="G263" s="72"><f>IF(OR(A263&gt;&apos;Property Calculator&apos;!$B$70*12,D263&lt;=0),0,MAX(0,MIN(D263,E263-F263)))</f><v>1065.5511262270368</v></c><c r="H263" s="126"><v>0</v></c><c r="I263" s="72"><f>IF(A263&gt;&apos;Property Calculator&apos;!$B$70*12,0,MAX(0,D263-G263-J263))</f><v>123874.75625632418</v></c><c r="J263" s="72"><f>IF(OR(A263&gt;&apos;Property Calculator&apos;!$B$70*12,D263&lt;=0),0,MIN(H263,MAX(0,D263-G263)))</f><v>0</v></c></row><row r="264" spans="1:10" x14ac:dyDescent="0.25"><c r="A264"><v>261</v></c><c r="B264"><f t="shared" si="4"/>&lt;v&gt;22&lt;/v&gt;&lt;/c&gt;&lt;c r=&quot;C264&quot; s=&quot;37&quot;&gt;&lt;f&gt;IF(A264&gt;&apos;Property Calculator&apos;!$B$70*12,0,IF(AND(&apos;Property Calculator&apos;!$B$72=1,B264&gt;&apos;Property Calculator&apos;!$B$69),&apos;Property Calculator&apos;!$B$73,&apos;Property Calculator&apos;!$B$65))</f><v>3.5000000000000003E-2</v></c><c r="D264" s="72"><f>IF(A264&gt;&apos;Property Calculator&apos;!$B$70*12,0,I263)</f><v>123874.75625632418</v></c><c r="E264" s="72"><f>IF(OR(A264&gt;&apos;Property Calculator&apos;!$B$70*12,D264&lt;=0),0,IF(AND(&apos;Property Calculator&apos;!$B$72=1,B264&gt;&apos;Property Calculator&apos;!$B$69),MIN(D264*C264/12+&apos;Property Calculator&apos;!$B$74/12,D264*(1+C264/12)),MIN(&apos;Property Calculator&apos;!$B$67,D264*(1+C264/12))))</f><v>1429.9603560928113</v></c><c r="F264" s="72"><f>IF(OR(A264&gt;&apos;Property Calculator&apos;!$B$70*12,D264&lt;=0),0,D264*C264/12)</f><v>361.30137241427889</v></c><c r="G264" s="72"><f>IF(OR(A264&gt;&apos;Property Calculator&apos;!$B$70*12,D264&lt;=0),0,MAX(0,MIN(D264,E264-F264)))</f><v>1068.6589836785324</v></c><c r="H264" s="126"><v>0</v></c><c r="I264" s="72"><f>IF(A264&gt;&apos;Property Calculator&apos;!$B$70*12,0,MAX(0,D264-G264-J264))</f><v>122806.09727264565</v></c><c r="J264" s="72"><f>IF(OR(A264&gt;&apos;Property Calculator&apos;!$B$70*12,D264&lt;=0),0,MIN(H264,MAX(0,D264-G264)))</f><v>0</v></c></row><row r="265" spans="1:10" x14ac:dyDescent="0.25"><c r="A265"><v>262</v></c><c r="B265"><f t="shared" si="4"/>&lt;v&gt;22&lt;/v&gt;&lt;/c&gt;&lt;c r=&quot;C265&quot; s=&quot;37&quot;&gt;&lt;f&gt;IF(A265&gt;&apos;Property Calculator&apos;!$B$70*12,0,IF(AND(&apos;Property Calculator&apos;!$B$72=1,B265&gt;&apos;Property Calculator&apos;!$B$69),&apos;Property Calculator&apos;!$B$73,&apos;Property Calculator&apos;!$B$65))</f><v>3.5000000000000003E-2</v></c><c r="D265" s="72"><f>IF(A265&gt;&apos;Property Calculator&apos;!$B$70*12,0,I264)</f><v>122806.09727264565</v></c><c r="E265" s="72"><f>IF(OR(A265&gt;&apos;Property Calculator&apos;!$B$70*12,D265&lt;=0),0,IF(AND(&apos;Property Calculator&apos;!$B$72=1,B265&gt;&apos;Property Calculator&apos;!$B$69),MIN(D265*C265/12+&apos;Property Calculator&apos;!$B$74/12,D265*(1+C265/12)),MIN(&apos;Property Calculator&apos;!$B$67,D265*(1+C265/12))))</f><v>1429.9603560928113</v></c><c r="F265" s="72"><f>IF(OR(A265&gt;&apos;Property Calculator&apos;!$B$70*12,D265&lt;=0),0,D265*C265/12)</f><v>358.18445037854985</v></c><c r="G265" s="72"><f>IF(OR(A265&gt;&apos;Property Calculator&apos;!$B$70*12,D265&lt;=0),0,MAX(0,MIN(D265,E265-F265)))</f><v>1071.7759057142614</v></c><c r="H265" s="126"><v>0</v></c><c r="I265" s="72"><f>IF(A265&gt;&apos;Property Calculator&apos;!$B$70*12,0,MAX(0,D265-G265-J265))</f><v>121734.32136693138</v></c><c r="J265" s="72"><f>IF(OR(A265&gt;&apos;Property Calculator&apos;!$B$70*12,D265&lt;=0),0,MIN(H265,MAX(0,D265-G265)))</f><v>0</v></c></row><row r="266" spans="1:10" x14ac:dyDescent="0.25"><c r="A266"><v>263</v></c><c r="B266"><f t="shared" si="4"/>&lt;v&gt;22&lt;/v&gt;&lt;/c&gt;&lt;c r=&quot;C266&quot; s=&quot;37&quot;&gt;&lt;f&gt;IF(A266&gt;&apos;Property Calculator&apos;!$B$70*12,0,IF(AND(&apos;Property Calculator&apos;!$B$72=1,B266&gt;&apos;Property Calculator&apos;!$B$69),&apos;Property Calculator&apos;!$B$73,&apos;Property Calculator&apos;!$B$65))</f><v>3.5000000000000003E-2</v></c><c r="D266" s="72"><f>IF(A266&gt;&apos;Property Calculator&apos;!$B$70*12,0,I265)</f><v>121734.32136693138</v></c><c r="E266" s="72"><f>IF(OR(A266&gt;&apos;Property Calculator&apos;!$B$70*12,D266&lt;=0),0,IF(AND(&apos;Property Calculator&apos;!$B$72=1,B266&gt;&apos;Property Calculator&apos;!$B$69),MIN(D266*C266/12+&apos;Property Calculator&apos;!$B$74/12,D266*(1+C266/12)),MIN(&apos;Property Calculator&apos;!$B$67,D266*(1+C266/12))))</f><v>1429.9603560928113</v></c><c r="F266" s="72"><f>IF(OR(A266&gt;&apos;Property Calculator&apos;!$B$70*12,D266&lt;=0),0,D266*C266/12)</f><v>355.05843732021657</v></c><c r="G266" s="72"><f>IF(OR(A266&gt;&apos;Property Calculator&apos;!$B$70*12,D266&lt;=0),0,MAX(0,MIN(D266,E266-F266)))</f><v>1074.9019187725946</v></c><c r="H266" s="126"><v>0</v></c><c r="I266" s="72"><f>IF(A266&gt;&apos;Property Calculator&apos;!$B$70*12,0,MAX(0,D266-G266-J266))</f><v>120659.41944815879</v></c><c r="J266" s="72"><f>IF(OR(A266&gt;&apos;Property Calculator&apos;!$B$70*12,D266&lt;=0),0,MIN(H266,MAX(0,D266-G266)))</f><v>0</v></c></row><row r="267" spans="1:10" x14ac:dyDescent="0.25"><c r="A267"><v>264</v></c><c r="B267"><f t="shared" si="4"/>&lt;v&gt;22&lt;/v&gt;&lt;/c&gt;&lt;c r=&quot;C267&quot; s=&quot;37&quot;&gt;&lt;f&gt;IF(A267&gt;&apos;Property Calculator&apos;!$B$70*12,0,IF(AND(&apos;Property Calculator&apos;!$B$72=1,B267&gt;&apos;Property Calculator&apos;!$B$69),&apos;Property Calculator&apos;!$B$73,&apos;Property Calculator&apos;!$B$65))</f><v>3.5000000000000003E-2</v></c><c r="D267" s="72"><f>IF(A267&gt;&apos;Property Calculator&apos;!$B$70*12,0,I266)</f><v>120659.41944815879</v></c><c r="E267" s="72"><f>IF(OR(A267&gt;&apos;Property Calculator&apos;!$B$70*12,D267&lt;=0),0,IF(AND(&apos;Property Calculator&apos;!$B$72=1,B267&gt;&apos;Property Calculator&apos;!$B$69),MIN(D267*C267/12+&apos;Property Calculator&apos;!$B$74/12,D267*(1+C267/12)),MIN(&apos;Property Calculator&apos;!$B$67,D267*(1+C267/12))))</f><v>1429.9603560928113</v></c><c r="F267" s="72"><f>IF(OR(A267&gt;&apos;Property Calculator&apos;!$B$70*12,D267&lt;=0),0,D267*C267/12)</f><v>351.92330672379649</v></c><c r="G267" s="72"><f>IF(OR(A267&gt;&apos;Property Calculator&apos;!$B$70*12,D267&lt;=0),0,MAX(0,MIN(D267,E267-F267)))</f><v>1078.0370493690148</v></c><c r="H267" s="126"><v>0</v></c><c r="I267" s="72"><f>IF(A267&gt;&apos;Property Calculator&apos;!$B$70*12,0,MAX(0,D267-G267-J267))</f><v>119581.38239878978</v></c><c r="J267" s="72"><f>IF(OR(A267&gt;&apos;Property Calculator&apos;!$B$70*12,D267&lt;=0),0,MIN(H267,MAX(0,D267-G267)))</f><v>0</v></c></row><row r="268" spans="1:10" x14ac:dyDescent="0.25"><c r="A268"><v>265</v></c><c r="B268"><f t="shared" si="4"/>&lt;v&gt;23&lt;/v&gt;&lt;/c&gt;&lt;c r=&quot;C268&quot; s=&quot;37&quot;&gt;&lt;f&gt;IF(A268&gt;&apos;Property Calculator&apos;!$B$70*12,0,IF(AND(&apos;Property Calculator&apos;!$B$72=1,B268&gt;&apos;Property Calculator&apos;!$B$69),&apos;Property Calculator&apos;!$B$73,&apos;Property Calculator&apos;!$B$65))</f><v>3.5000000000000003E-2</v></c><c r="D268" s="72"><f>IF(A268&gt;&apos;Property Calculator&apos;!$B$70*12,0,I267)</f><v>119581.38239878978</v></c><c r="E268" s="72"><f>IF(OR(A268&gt;&apos;Property Calculator&apos;!$B$70*12,D268&lt;=0),0,IF(AND(&apos;Property Calculator&apos;!$B$72=1,B268&gt;&apos;Property Calculator&apos;!$B$69),MIN(D268*C268/12+&apos;Property Calculator&apos;!$B$74/12,D268*(1+C268/12)),MIN(&apos;Property Calculator&apos;!$B$67,D268*(1+C268/12))))</f><v>1429.9603560928113</v></c><c r="F268" s="72"><f>IF(OR(A268&gt;&apos;Property Calculator&apos;!$B$70*12,D268&lt;=0),0,D268*C268/12)</f><v>348.77903199647022</v></c><c r="G268" s="72"><f>IF(OR(A268&gt;&apos;Property Calculator&apos;!$B$70*12,D268&lt;=0),0,MAX(0,MIN(D268,E268-F268)))</f><v>1081.1813240963411</v></c><c r="H268" s="126"><v>0</v></c><c r="I268" s="72"><f>IF(A268&gt;&apos;Property Calculator&apos;!$B$70*12,0,MAX(0,D268-G268-J268))</f><v>118500.20107469344</v></c><c r="J268" s="72"><f>IF(OR(A268&gt;&apos;Property Calculator&apos;!$B$70*12,D268&lt;=0),0,MIN(H268,MAX(0,D268-G268)))</f><v>0</v></c></row><row r="269" spans="1:10" x14ac:dyDescent="0.25"><c r="A269"><v>266</v></c><c r="B269"><f t="shared" si="4"/>&lt;v&gt;23&lt;/v&gt;&lt;/c&gt;&lt;c r=&quot;C269&quot; s=&quot;37&quot;&gt;&lt;f&gt;IF(A269&gt;&apos;Property Calculator&apos;!$B$70*12,0,IF(AND(&apos;Property Calculator&apos;!$B$72=1,B269&gt;&apos;Property Calculator&apos;!$B$69),&apos;Property Calculator&apos;!$B$73,&apos;Property Calculator&apos;!$B$65))</f><v>3.5000000000000003E-2</v></c><c r="D269" s="72"><f>IF(A269&gt;&apos;Property Calculator&apos;!$B$70*12,0,I268)</f><v>118500.20107469344</v></c><c r="E269" s="72"><f>IF(OR(A269&gt;&apos;Property Calculator&apos;!$B$70*12,D269&lt;=0),0,IF(AND(&apos;Property Calculator&apos;!$B$72=1,B269&gt;&apos;Property Calculator&apos;!$B$69),MIN(D269*C269/12+&apos;Property Calculator&apos;!$B$74/12,D269*(1+C269/12)),MIN(&apos;Property Calculator&apos;!$B$67,D269*(1+C269/12))))</f><v>1429.9603560928113</v></c><c r="F269" s="72"><f>IF(OR(A269&gt;&apos;Property Calculator&apos;!$B$70*12,D269&lt;=0),0,D269*C269/12)</f><v>345.62558646785595</v></c><c r="G269" s="72"><f>IF(OR(A269&gt;&apos;Property Calculator&apos;!$B$70*12,D269&lt;=0),0,MAX(0,MIN(D269,E269-F269)))</f><v>1084.3347696249552</v></c><c r="H269" s="126"><v>0</v></c><c r="I269" s="72"><f>IF(A269&gt;&apos;Property Calculator&apos;!$B$70*12,0,MAX(0,D269-G269-J269))</f><v>117415.86630506848</v></c><c r="J269" s="72"><f>IF(OR(A269&gt;&apos;Property Calculator&apos;!$B$70*12,D269&lt;=0),0,MIN(H269,MAX(0,D269-G269)))</f><v>0</v></c></row><row r="270" spans="1:10" x14ac:dyDescent="0.25"><c r="A270"><v>267</v></c><c r="B270"><f t="shared" si="4"/>&lt;v&gt;23&lt;/v&gt;&lt;/c&gt;&lt;c r=&quot;C270&quot; s=&quot;37&quot;&gt;&lt;f&gt;IF(A270&gt;&apos;Property Calculator&apos;!$B$70*12,0,IF(AND(&apos;Property Calculator&apos;!$B$72=1,B270&gt;&apos;Property Calculator&apos;!$B$69),&apos;Property Calculator&apos;!$B$73,&apos;Property Calculator&apos;!$B$65))</f><v>3.5000000000000003E-2</v></c><c r="D270" s="72"><f>IF(A270&gt;&apos;Property Calculator&apos;!$B$70*12,0,I269)</f><v>117415.86630506848</v></c><c r="E270" s="72"><f>IF(OR(A270&gt;&apos;Property Calculator&apos;!$B$70*12,D270&lt;=0),0,IF(AND(&apos;Property Calculator&apos;!$B$72=1,B270&gt;&apos;Property Calculator&apos;!$B$69),MIN(D270*C270/12+&apos;Property Calculator&apos;!$B$74/12,D270*(1+C270/12)),MIN(&apos;Property Calculator&apos;!$B$67,D270*(1+C270/12))))</f><v>1429.9603560928113</v></c><c r="F270" s="72"><f>IF(OR(A270&gt;&apos;Property Calculator&apos;!$B$70*12,D270&lt;=0),0,D270*C270/12)</f><v>342.46294338978311</v></c><c r="G270" s="72"><f>IF(OR(A270&gt;&apos;Property Calculator&apos;!$B$70*12,D270&lt;=0),0,MAX(0,MIN(D270,E270-F270)))</f><v>1087.4974127030282</v></c><c r="H270" s="126"><v>0</v></c><c r="I270" s="72"><f>IF(A270&gt;&apos;Property Calculator&apos;!$B$70*12,0,MAX(0,D270-G270-J270))</f><v>116328.36889236546</v></c><c r="J270" s="72"><f>IF(OR(A270&gt;&apos;Property Calculator&apos;!$B$70*12,D270&lt;=0),0,MIN(H270,MAX(0,D270-G270)))</f><v>0</v></c></row><row r="271" spans="1:10" x14ac:dyDescent="0.25"><c r="A271"><v>268</v></c><c r="B271"><f t="shared" si="4"/>&lt;v&gt;23&lt;/v&gt;&lt;/c&gt;&lt;c r=&quot;C271&quot; s=&quot;37&quot;&gt;&lt;f&gt;IF(A271&gt;&apos;Property Calculator&apos;!$B$70*12,0,IF(AND(&apos;Property Calculator&apos;!$B$72=1,B271&gt;&apos;Property Calculator&apos;!$B$69),&apos;Property Calculator&apos;!$B$73,&apos;Property Calculator&apos;!$B$65))</f><v>3.5000000000000003E-2</v></c><c r="D271" s="72"><f>IF(A271&gt;&apos;Property Calculator&apos;!$B$70*12,0,I270)</f><v>116328.36889236546</v></c><c r="E271" s="72"><f>IF(OR(A271&gt;&apos;Property Calculator&apos;!$B$70*12,D271&lt;=0),0,IF(AND(&apos;Property Calculator&apos;!$B$72=1,B271&gt;&apos;Property Calculator&apos;!$B$69),MIN(D271*C271/12+&apos;Property Calculator&apos;!$B$74/12,D271*(1+C271/12)),MIN(&apos;Property Calculator&apos;!$B$67,D271*(1+C271/12))))</f><v>1429.9603560928113</v></c><c r="F271" s="72"><f>IF(OR(A271&gt;&apos;Property Calculator&apos;!$B$70*12,D271&lt;=0),0,D271*C271/12)</f><v>339.29107593606597</v></c><c r="G271" s="72"><f>IF(OR(A271&gt;&apos;Property Calculator&apos;!$B$70*12,D271&lt;=0),0,MAX(0,MIN(D271,E271-F271)))</f><v>1090.6692801567453</v></c><c r="H271" s="126"><v>0</v></c><c r="I271" s="72"><f>IF(A271&gt;&apos;Property Calculator&apos;!$B$70*12,0,MAX(0,D271-G271-J271))</f><v>115237.69961220871</v></c><c r="J271" s="72"><f>IF(OR(A271&gt;&apos;Property Calculator&apos;!$B$70*12,D271&lt;=0),0,MIN(H271,MAX(0,D271-G271)))</f><v>0</v></c></row><row r="272" spans="1:10" x14ac:dyDescent="0.25"><c r="A272"><v>269</v></c><c r="B272"><f t="shared" si="4"/>&lt;v&gt;23&lt;/v&gt;&lt;/c&gt;&lt;c r=&quot;C272&quot; s=&quot;37&quot;&gt;&lt;f&gt;IF(A272&gt;&apos;Property Calculator&apos;!$B$70*12,0,IF(AND(&apos;Property Calculator&apos;!$B$72=1,B272&gt;&apos;Property Calculator&apos;!$B$69),&apos;Property Calculator&apos;!$B$73,&apos;Property Calculator&apos;!$B$65))</f><v>3.5000000000000003E-2</v></c><c r="D272" s="72"><f>IF(A272&gt;&apos;Property Calculator&apos;!$B$70*12,0,I271)</f><v>115237.69961220871</v></c><c r="E272" s="72"><f>IF(OR(A272&gt;&apos;Property Calculator&apos;!$B$70*12,D272&lt;=0),0,IF(AND(&apos;Property Calculator&apos;!$B$72=1,B272&gt;&apos;Property Calculator&apos;!$B$69),MIN(D272*C272/12+&apos;Property Calculator&apos;!$B$74/12,D272*(1+C272/12)),MIN(&apos;Property Calculator&apos;!$B$67,D272*(1+C272/12))))</f><v>1429.9603560928113</v></c><c r="F272" s="72"><f>IF(OR(A272&gt;&apos;Property Calculator&apos;!$B$70*12,D272&lt;=0),0,D272*C272/12)</f><v>336.10995720227544</v></c><c r="G272" s="72"><f>IF(OR(A272&gt;&apos;Property Calculator&apos;!$B$70*12,D272&lt;=0),0,MAX(0,MIN(D272,E272-F272)))</f><v>1093.8503988905359</v></c><c r="H272" s="126"><v>0</v></c><c r="I272" s="72"><f>IF(A272&gt;&apos;Property Calculator&apos;!$B$70*12,0,MAX(0,D272-G272-J272))</f><v>114143.84921331817</v></c><c r="J272" s="72"><f>IF(OR(A272&gt;&apos;Property Calculator&apos;!$B$70*12,D272&lt;=0),0,MIN(H272,MAX(0,D272-G272)))</f><v>0</v></c></row><row r="273" spans="1:10" x14ac:dyDescent="0.25"><c r="A273"><v>270</v></c><c r="B273"><f t="shared" si="4"/>&lt;v&gt;23&lt;/v&gt;&lt;/c&gt;&lt;c r=&quot;C273&quot; s=&quot;37&quot;&gt;&lt;f&gt;IF(A273&gt;&apos;Property Calculator&apos;!$B$70*12,0,IF(AND(&apos;Property Calculator&apos;!$B$72=1,B273&gt;&apos;Property Calculator&apos;!$B$69),&apos;Property Calculator&apos;!$B$73,&apos;Property Calculator&apos;!$B$65))</f><v>3.5000000000000003E-2</v></c><c r="D273" s="72"><f>IF(A273&gt;&apos;Property Calculator&apos;!$B$70*12,0,I272)</f><v>114143.84921331817</v></c><c r="E273" s="72"><f>IF(OR(A273&gt;&apos;Property Calculator&apos;!$B$70*12,D273&lt;=0),0,IF(AND(&apos;Property Calculator&apos;!$B$72=1,B273&gt;&apos;Property Calculator&apos;!$B$69),MIN(D273*C273/12+&apos;Property Calculator&apos;!$B$74/12,D273*(1+C273/12)),MIN(&apos;Property Calculator&apos;!$B$67,D273*(1+C273/12))))</f><v>1429.9603560928113</v></c><c r="F273" s="72"><f>IF(OR(A273&gt;&apos;Property Calculator&apos;!$B$70*12,D273&lt;=0),0,D273*C273/12)</f><v>332.91956020551135</v></c><c r="G273" s="72"><f>IF(OR(A273&gt;&apos;Property Calculator&apos;!$B$70*12,D273&lt;=0),0,MAX(0,MIN(D273,E273-F273)))</f><v>1097.0407958873</v></c><c r="H273" s="126"><v>0</v></c><c r="I273" s="72"><f>IF(A273&gt;&apos;Property Calculator&apos;!$B$70*12,0,MAX(0,D273-G273-J273))</f><v>113046.80841743088</v></c><c r="J273" s="72"><f>IF(OR(A273&gt;&apos;Property Calculator&apos;!$B$70*12,D273&lt;=0),0,MIN(H273,MAX(0,D273-G273)))</f><v>0</v></c></row><row r="274" spans="1:10" x14ac:dyDescent="0.25"><c r="A274"><v>271</v></c><c r="B274"><f t="shared" si="4"/>&lt;v&gt;23&lt;/v&gt;&lt;/c&gt;&lt;c r=&quot;C274&quot; s=&quot;37&quot;&gt;&lt;f&gt;IF(A274&gt;&apos;Property Calculator&apos;!$B$70*12,0,IF(AND(&apos;Property Calculator&apos;!$B$72=1,B274&gt;&apos;Property Calculator&apos;!$B$69),&apos;Property Calculator&apos;!$B$73,&apos;Property Calculator&apos;!$B$65))</f><v>3.5000000000000003E-2</v></c><c r="D274" s="72"><f>IF(A274&gt;&apos;Property Calculator&apos;!$B$70*12,0,I273)</f><v>113046.80841743088</v></c><c r="E274" s="72"><f>IF(OR(A274&gt;&apos;Property Calculator&apos;!$B$70*12,D274&lt;=0),0,IF(AND(&apos;Property Calculator&apos;!$B$72=1,B274&gt;&apos;Property Calculator&apos;!$B$69),MIN(D274*C274/12+&apos;Property Calculator&apos;!$B$74/12,D274*(1+C274/12)),MIN(&apos;Property Calculator&apos;!$B$67,D274*(1+C274/12))))</f><v>1429.9603560928113</v></c><c r="F274" s="72"><f>IF(OR(A274&gt;&apos;Property Calculator&apos;!$B$70*12,D274&lt;=0),0,D274*C274/12)</f><v>329.71985788417345</v></c><c r="G274" s="72"><f>IF(OR(A274&gt;&apos;Property Calculator&apos;!$B$70*12,D274&lt;=0),0,MAX(0,MIN(D274,E274-F274)))</f><v>1100.2404982086377</v></c><c r="H274" s="126"><v>0</v></c><c r="I274" s="72"><f>IF(A274&gt;&apos;Property Calculator&apos;!$B$70*12,0,MAX(0,D274-G274-J274))</f><v>111946.56791922223</v></c><c r="J274" s="72"><f>IF(OR(A274&gt;&apos;Property Calculator&apos;!$B$70*12,D274&lt;=0),0,MIN(H274,MAX(0,D274-G274)))</f><v>0</v></c></row><row r="275" spans="1:10" x14ac:dyDescent="0.25"><c r="A275"><v>272</v></c><c r="B275"><f t="shared" si="4"/>&lt;v&gt;23&lt;/v&gt;&lt;/c&gt;&lt;c r=&quot;C275&quot; s=&quot;37&quot;&gt;&lt;f&gt;IF(A275&gt;&apos;Property Calculator&apos;!$B$70*12,0,IF(AND(&apos;Property Calculator&apos;!$B$72=1,B275&gt;&apos;Property Calculator&apos;!$B$69),&apos;Property Calculator&apos;!$B$73,&apos;Property Calculator&apos;!$B$65))</f><v>3.5000000000000003E-2</v></c><c r="D275" s="72"><f>IF(A275&gt;&apos;Property Calculator&apos;!$B$70*12,0,I274)</f><v>111946.56791922223</v></c><c r="E275" s="72"><f>IF(OR(A275&gt;&apos;Property Calculator&apos;!$B$70*12,D275&lt;=0),0,IF(AND(&apos;Property Calculator&apos;!$B$72=1,B275&gt;&apos;Property Calculator&apos;!$B$69),MIN(D275*C275/12+&apos;Property Calculator&apos;!$B$74/12,D275*(1+C275/12)),MIN(&apos;Property Calculator&apos;!$B$67,D275*(1+C275/12))))</f><v>1429.9603560928113</v></c><c r="F275" s="72"><f>IF(OR(A275&gt;&apos;Property Calculator&apos;!$B$70*12,D275&lt;=0),0,D275*C275/12)</f><v>326.51082309773153</v></c><c r="G275" s="72"><f>IF(OR(A275&gt;&apos;Property Calculator&apos;!$B$70*12,D275&lt;=0),0,MAX(0,MIN(D275,E275-F275)))</f><v>1103.4495329950796</v></c><c r="H275" s="126"><v>0</v></c><c r="I275" s="72"><f>IF(A275&gt;&apos;Property Calculator&apos;!$B$70*12,0,MAX(0,D275-G275-J275))</f><v>110843.11838622716</v></c><c r="J275" s="72"><f>IF(OR(A275&gt;&apos;Property Calculator&apos;!$B$70*12,D275&lt;=0),0,MIN(H275,MAX(0,D275-G275)))</f><v>0</v></c></row><row r="276" spans="1:10" x14ac:dyDescent="0.25"><c r="A276"><v>273</v></c><c r="B276"><f t="shared" si="4"/>&lt;v&gt;23&lt;/v&gt;&lt;/c&gt;&lt;c r=&quot;C276&quot; s=&quot;37&quot;&gt;&lt;f&gt;IF(A276&gt;&apos;Property Calculator&apos;!$B$70*12,0,IF(AND(&apos;Property Calculator&apos;!$B$72=1,B276&gt;&apos;Property Calculator&apos;!$B$69),&apos;Property Calculator&apos;!$B$73,&apos;Property Calculator&apos;!$B$65))</f><v>3.5000000000000003E-2</v></c><c r="D276" s="72"><f>IF(A276&gt;&apos;Property Calculator&apos;!$B$70*12,0,I275)</f><v>110843.11838622716</v></c><c r="E276" s="72"><f>IF(OR(A276&gt;&apos;Property Calculator&apos;!$B$70*12,D276&lt;=0),0,IF(AND(&apos;Property Calculator&apos;!$B$72=1,B276&gt;&apos;Property Calculator&apos;!$B$69),MIN(D276*C276/12+&apos;Property Calculator&apos;!$B$74/12,D276*(1+C276/12)),MIN(&apos;Property Calculator&apos;!$B$67,D276*(1+C276/12))))</f><v>1429.9603560928113</v></c><c r="F276" s="72"><f>IF(OR(A276&gt;&apos;Property Calculator&apos;!$B$70*12,D276&lt;=0),0,D276*C276/12)</f><v>323.29242862649591</v></c><c r="G276" s="72"><f>IF(OR(A276&gt;&apos;Property Calculator&apos;!$B$70*12,D276&lt;=0),0,MAX(0,MIN(D276,E276-F276)))</f><v>1106.6679274663154</v></c><c r="H276" s="126"><v>0</v></c><c r="I276" s="72"><f>IF(A276&gt;&apos;Property Calculator&apos;!$B$70*12,0,MAX(0,D276-G276-J276))</f><v>109736.45045876084</v></c><c r="J276" s="72"><f>IF(OR(A276&gt;&apos;Property Calculator&apos;!$B$70*12,D276&lt;=0),0,MIN(H276,MAX(0,D276-G276)))</f><v>0</v></c></row><row r="277" spans="1:10" x14ac:dyDescent="0.25"><c r="A277"><v>274</v></c><c r="B277"><f t="shared" si="4"/>&lt;v&gt;23&lt;/v&gt;&lt;/c&gt;&lt;c r=&quot;C277&quot; s=&quot;37&quot;&gt;&lt;f&gt;IF(A277&gt;&apos;Property Calculator&apos;!$B$70*12,0,IF(AND(&apos;Property Calculator&apos;!$B$72=1,B277&gt;&apos;Property Calculator&apos;!$B$69),&apos;Property Calculator&apos;!$B$73,&apos;Property Calculator&apos;!$B$65))</f><v>3.5000000000000003E-2</v></c><c r="D277" s="72"><f>IF(A277&gt;&apos;Property Calculator&apos;!$B$70*12,0,I276)</f><v>109736.45045876084</v></c><c r="E277" s="72"><f>IF(OR(A277&gt;&apos;Property Calculator&apos;!$B$70*12,D277&lt;=0),0,IF(AND(&apos;Property Calculator&apos;!$B$72=1,B277&gt;&apos;Property Calculator&apos;!$B$69),MIN(D277*C277/12+&apos;Property Calculator&apos;!$B$74/12,D277*(1+C277/12)),MIN(&apos;Property Calculator&apos;!$B$67,D277*(1+C277/12))))</f><v>1429.9603560928113</v></c><c r="F277" s="72"><f>IF(OR(A277&gt;&apos;Property Calculator&apos;!$B$70*12,D277&lt;=0),0,D277*C277/12)</f><v>320.06464717138584</v></c><c r="G277" s="72"><f>IF(OR(A277&gt;&apos;Property Calculator&apos;!$B$70*12,D277&lt;=0),0,MAX(0,MIN(D277,E277-F277)))</f><v>1109.8957089214255</v></c><c r="H277" s="126"><v>0</v></c><c r="I277" s="72"><f>IF(A277&gt;&apos;Property Calculator&apos;!$B$70*12,0,MAX(0,D277-G277-J277))</f><v>108626.55474983942</v></c><c r="J277" s="72"><f>IF(OR(A277&gt;&apos;Property Calculator&apos;!$B$70*12,D277&lt;=0),0,MIN(H277,MAX(0,D277-G277)))</f><v>0</v></c></row><row r="278" spans="1:10" x14ac:dyDescent="0.25"><c r="A278"><v>275</v></c><c r="B278"><f t="shared" si="4"/>&lt;v&gt;23&lt;/v&gt;&lt;/c&gt;&lt;c r=&quot;C278&quot; s=&quot;37&quot;&gt;&lt;f&gt;IF(A278&gt;&apos;Property Calculator&apos;!$B$70*12,0,IF(AND(&apos;Property Calculator&apos;!$B$72=1,B278&gt;&apos;Property Calculator&apos;!$B$69),&apos;Property Calculator&apos;!$B$73,&apos;Property Calculator&apos;!$B$65))</f><v>3.5000000000000003E-2</v></c><c r="D278" s="72"><f>IF(A278&gt;&apos;Property Calculator&apos;!$B$70*12,0,I277)</f><v>108626.55474983942</v></c><c r="E278" s="72"><f>IF(OR(A278&gt;&apos;Property Calculator&apos;!$B$70*12,D278&lt;=0),0,IF(AND(&apos;Property Calculator&apos;!$B$72=1,B278&gt;&apos;Property Calculator&apos;!$B$69),MIN(D278*C278/12+&apos;Property Calculator&apos;!$B$74/12,D278*(1+C278/12)),MIN(&apos;Property Calculator&apos;!$B$67,D278*(1+C278/12))))</f><v>1429.9603560928113</v></c><c r="F278" s="72"><f>IF(OR(A278&gt;&apos;Property Calculator&apos;!$B$70*12,D278&lt;=0),0,D278*C278/12)</f><v>316.82745135369834</v></c><c r="G278" s="72"><f>IF(OR(A278&gt;&apos;Property Calculator&apos;!$B$70*12,D278&lt;=0),0,MAX(0,MIN(D278,E278-F278)))</f><v>1113.132904739113</v></c><c r="H278" s="126"><v>0</v></c><c r="I278" s="72"><f>IF(A278&gt;&apos;Property Calculator&apos;!$B$70*12,0,MAX(0,D278-G278-J278))</f><v>107513.4218451003</v></c><c r="J278" s="72"><f>IF(OR(A278&gt;&apos;Property Calculator&apos;!$B$70*12,D278&lt;=0),0,MIN(H278,MAX(0,D278-G278)))</f><v>0</v></c></row><row r="279" spans="1:10" x14ac:dyDescent="0.25"><c r="A279"><v>276</v></c><c r="B279"><f t="shared" si="4"/>&lt;v&gt;23&lt;/v&gt;&lt;/c&gt;&lt;c r=&quot;C279&quot; s=&quot;37&quot;&gt;&lt;f&gt;IF(A279&gt;&apos;Property Calculator&apos;!$B$70*12,0,IF(AND(&apos;Property Calculator&apos;!$B$72=1,B279&gt;&apos;Property Calculator&apos;!$B$69),&apos;Property Calculator&apos;!$B$73,&apos;Property Calculator&apos;!$B$65))</f><v>3.5000000000000003E-2</v></c><c r="D279" s="72"><f>IF(A279&gt;&apos;Property Calculator&apos;!$B$70*12,0,I278)</f><v>107513.4218451003</v></c><c r="E279" s="72"><f>IF(OR(A279&gt;&apos;Property Calculator&apos;!$B$70*12,D279&lt;=0),0,IF(AND(&apos;Property Calculator&apos;!$B$72=1,B279&gt;&apos;Property Calculator&apos;!$B$69),MIN(D279*C279/12+&apos;Property Calculator&apos;!$B$74/12,D279*(1+C279/12)),MIN(&apos;Property Calculator&apos;!$B$67,D279*(1+C279/12))))</f><v>1429.9603560928113</v></c><c r="F279" s="72"><f>IF(OR(A279&gt;&apos;Property Calculator&apos;!$B$70*12,D279&lt;=0),0,D279*C279/12)</f><v>313.58081371487589</v></c><c r="G279" s="72"><f>IF(OR(A279&gt;&apos;Property Calculator&apos;!$B$70*12,D279&lt;=0),0,MAX(0,MIN(D279,E279-F279)))</f><v>1116.3795423779354</v></c><c r="H279" s="126"><v>0</v></c><c r="I279" s="72"><f>IF(A279&gt;&apos;Property Calculator&apos;!$B$70*12,0,MAX(0,D279-G279-J279))</f><v>106397.04230272236</v></c><c r="J279" s="72"><f>IF(OR(A279&gt;&apos;Property Calculator&apos;!$B$70*12,D279&lt;=0),0,MIN(H279,MAX(0,D279-G279)))</f><v>0</v></c></row><row r="280" spans="1:10" x14ac:dyDescent="0.25"><c r="A280"><v>277</v></c><c r="B280"><f t="shared" si="4"/>&lt;v&gt;24&lt;/v&gt;&lt;/c&gt;&lt;c r=&quot;C280&quot; s=&quot;37&quot;&gt;&lt;f&gt;IF(A280&gt;&apos;Property Calculator&apos;!$B$70*12,0,IF(AND(&apos;Property Calculator&apos;!$B$72=1,B280&gt;&apos;Property Calculator&apos;!$B$69),&apos;Property Calculator&apos;!$B$73,&apos;Property Calculator&apos;!$B$65))</f><v>3.5000000000000003E-2</v></c><c r="D280" s="72"><f>IF(A280&gt;&apos;Property Calculator&apos;!$B$70*12,0,I279)</f><v>106397.04230272236</v></c><c r="E280" s="72"><f>IF(OR(A280&gt;&apos;Property Calculator&apos;!$B$70*12,D280&lt;=0),0,IF(AND(&apos;Property Calculator&apos;!$B$72=1,B280&gt;&apos;Property Calculator&apos;!$B$69),MIN(D280*C280/12+&apos;Property Calculator&apos;!$B$74/12,D280*(1+C280/12)),MIN(&apos;Property Calculator&apos;!$B$67,D280*(1+C280/12))))</f><v>1429.9603560928113</v></c><c r="F280" s="72"><f>IF(OR(A280&gt;&apos;Property Calculator&apos;!$B$70*12,D280&lt;=0),0,D280*C280/12)</f><v>310.32470671627357</v></c><c r="G280" s="72"><f>IF(OR(A280&gt;&apos;Property Calculator&apos;!$B$70*12,D280&lt;=0),0,MAX(0,MIN(D280,E280-F280)))</f><v>1119.6356493765377</v></c><c r="H280" s="126"><v>0</v></c><c r="I280" s="72"><f>IF(A280&gt;&apos;Property Calculator&apos;!$B$70*12,0,MAX(0,D280-G280-J280))</f><v>105277.40665334582</v></c><c r="J280" s="72"><f>IF(OR(A280&gt;&apos;Property Calculator&apos;!$B$70*12,D280&lt;=0),0,MIN(H280,MAX(0,D280-G280)))</f><v>0</v></c></row><row r="281" spans="1:10" x14ac:dyDescent="0.25"><c r="A281"><v>278</v></c><c r="B281"><f t="shared" si="4"/>&lt;v&gt;24&lt;/v&gt;&lt;/c&gt;&lt;c r=&quot;C281&quot; s=&quot;37&quot;&gt;&lt;f&gt;IF(A281&gt;&apos;Property Calculator&apos;!$B$70*12,0,IF(AND(&apos;Property Calculator&apos;!$B$72=1,B281&gt;&apos;Property Calculator&apos;!$B$69),&apos;Property Calculator&apos;!$B$73,&apos;Property Calculator&apos;!$B$65))</f><v>3.5000000000000003E-2</v></c><c r="D281" s="72"><f>IF(A281&gt;&apos;Property Calculator&apos;!$B$70*12,0,I280)</f><v>105277.40665334582</v></c><c r="E281" s="72"><f>IF(OR(A281&gt;&apos;Property Calculator&apos;!$B$70*12,D281&lt;=0),0,IF(AND(&apos;Property Calculator&apos;!$B$72=1,B281&gt;&apos;Property Calculator&apos;!$B$69),MIN(D281*C281/12+&apos;Property Calculator&apos;!$B$74/12,D281*(1+C281/12)),MIN(&apos;Property Calculator&apos;!$B$67,D281*(1+C281/12))))</f><v>1429.9603560928113</v></c><c r="F281" s="72"><f>IF(OR(A281&gt;&apos;Property Calculator&apos;!$B$70*12,D281&lt;=0),0,D281*C281/12)</f><v>307.05910273892533</v></c><c r="G281" s="72"><f>IF(OR(A281&gt;&apos;Property Calculator&apos;!$B$70*12,D281&lt;=0),0,MAX(0,MIN(D281,E281-F281)))</f><v>1122.901253353886</v></c><c r="H281" s="126"><v>0</v></c><c r="I281" s="72"><f>IF(A281&gt;&apos;Property Calculator&apos;!$B$70*12,0,MAX(0,D281-G281-J281))</f><v>104154.50539999193</v></c><c r="J281" s="72"><f>IF(OR(A281&gt;&apos;Property Calculator&apos;!$B$70*12,D281&lt;=0),0,MIN(H281,MAX(0,D281-G281)))</f><v>0</v></c></row><row r="282" spans="1:10" x14ac:dyDescent="0.25"><c r="A282"><v>279</v></c><c r="B282"><f t="shared" si="4"/>&lt;v&gt;24&lt;/v&gt;&lt;/c&gt;&lt;c r=&quot;C282&quot; s=&quot;37&quot;&gt;&lt;f&gt;IF(A282&gt;&apos;Property Calculator&apos;!$B$70*12,0,IF(AND(&apos;Property Calculator&apos;!$B$72=1,B282&gt;&apos;Property Calculator&apos;!$B$69),&apos;Property Calculator&apos;!$B$73,&apos;Property Calculator&apos;!$B$65))</f><v>3.5000000000000003E-2</v></c><c r="D282" s="72"><f>IF(A282&gt;&apos;Property Calculator&apos;!$B$70*12,0,I281)</f><v>104154.50539999193</v></c><c r="E282" s="72"><f>IF(OR(A282&gt;&apos;Property Calculator&apos;!$B$70*12,D282&lt;=0),0,IF(AND(&apos;Property Calculator&apos;!$B$72=1,B282&gt;&apos;Property Calculator&apos;!$B$69),MIN(D282*C282/12+&apos;Property Calculator&apos;!$B$74/12,D282*(1+C282/12)),MIN(&apos;Property Calculator&apos;!$B$67,D282*(1+C282/12))))</f><v>1429.9603560928113</v></c><c r="F282" s="72"><f>IF(OR(A282&gt;&apos;Property Calculator&apos;!$B$70*12,D282&lt;=0),0,D282*C282/12)</f><v>303.78397408330983</v></c><c r="G282" s="72"><f>IF(OR(A282&gt;&apos;Property Calculator&apos;!$B$70*12,D282&lt;=0),0,MAX(0,MIN(D282,E282-F282)))</f><v>1126.1763820095014</v></c><c r="H282" s="126"><v>0</v></c><c r="I282" s="72"><f>IF(A282&gt;&apos;Property Calculator&apos;!$B$70*12,0,MAX(0,D282-G282-J282))</f><v>103028.32901798243</v></c><c r="J282" s="72"><f>IF(OR(A282&gt;&apos;Property Calculator&apos;!$B$70*12,D282&lt;=0),0,MIN(H282,MAX(0,D282-G282)))</f><v>0</v></c></row><row r="283" spans="1:10" x14ac:dyDescent="0.25"><c r="A283"><v>280</v></c><c r="B283"><f t="shared" si="4"/>&lt;v&gt;24&lt;/v&gt;&lt;/c&gt;&lt;c r=&quot;C283&quot; s=&quot;37&quot;&gt;&lt;f&gt;IF(A283&gt;&apos;Property Calculator&apos;!$B$70*12,0,IF(AND(&apos;Property Calculator&apos;!$B$72=1,B283&gt;&apos;Property Calculator&apos;!$B$69),&apos;Property Calculator&apos;!$B$73,&apos;Property Calculator&apos;!$B$65))</f><v>3.5000000000000003E-2</v></c><c r="D283" s="72"><f>IF(A283&gt;&apos;Property Calculator&apos;!$B$70*12,0,I282)</f><v>103028.32901798243</v></c><c r="E283" s="72"><f>IF(OR(A283&gt;&apos;Property Calculator&apos;!$B$70*12,D283&lt;=0),0,IF(AND(&apos;Property Calculator&apos;!$B$72=1,B283&gt;&apos;Property Calculator&apos;!$B$69),MIN(D283*C283/12+&apos;Property Calculator&apos;!$B$74/12,D283*(1+C283/12)),MIN(&apos;Property Calculator&apos;!$B$67,D283*(1+C283/12))))</f><v>1429.9603560928113</v></c><c r="F283" s="72"><f>IF(OR(A283&gt;&apos;Property Calculator&apos;!$B$70*12,D283&lt;=0),0,D283*C283/12)</f><v>300.4992929691154</v></c><c r="G283" s="72"><f>IF(OR(A283&gt;&apos;Property Calculator&apos;!$B$70*12,D283&lt;=0),0,MAX(0,MIN(D283,E283-F283)))</f><v>1129.4610631236958</v></c><c r="H283" s="126"><v>0</v></c><c r="I283" s="72"><f>IF(A283&gt;&apos;Property Calculator&apos;!$B$70*12,0,MAX(0,D283-G283-J283))</f><v>101898.86795485872</v></c><c r="J283" s="72"><f>IF(OR(A283&gt;&apos;Property Calculator&apos;!$B$70*12,D283&lt;=0),0,MIN(H283,MAX(0,D283-G283)))</f><v>0</v></c></row><row r="284" spans="1:10" x14ac:dyDescent="0.25"><c r="A284"><v>281</v></c><c r="B284"><f t="shared" si="4"/>&lt;v&gt;24&lt;/v&gt;&lt;/c&gt;&lt;c r=&quot;C284&quot; s=&quot;37&quot;&gt;&lt;f&gt;IF(A284&gt;&apos;Property Calculator&apos;!$B$70*12,0,IF(AND(&apos;Property Calculator&apos;!$B$72=1,B284&gt;&apos;Property Calculator&apos;!$B$69),&apos;Property Calculator&apos;!$B$73,&apos;Property Calculator&apos;!$B$65))</f><v>3.5000000000000003E-2</v></c><c r="D284" s="72"><f>IF(A284&gt;&apos;Property Calculator&apos;!$B$70*12,0,I283)</f><v>101898.86795485872</v></c><c r="E284" s="72"><f>IF(OR(A284&gt;&apos;Property Calculator&apos;!$B$70*12,D284&lt;=0),0,IF(AND(&apos;Property Calculator&apos;!$B$72=1,B284&gt;&apos;Property Calculator&apos;!$B$69),MIN(D284*C284/12+&apos;Property Calculator&apos;!$B$74/12,D284*(1+C284/12)),MIN(&apos;Property Calculator&apos;!$B$67,D284*(1+C284/12))))</f><v>1429.9603560928113</v></c><c r="F284" s="72"><f>IF(OR(A284&gt;&apos;Property Calculator&apos;!$B$70*12,D284&lt;=0),0,D284*C284/12)</f><v>297.20503153500465</v></c><c r="G284" s="72"><f>IF(OR(A284&gt;&apos;Property Calculator&apos;!$B$70*12,D284&lt;=0),0,MAX(0,MIN(D284,E284-F284)))</f><v>1132.7553245578065</v></c><c r="H284" s="126"><v>0</v></c><c r="I284" s="72"><f>IF(A284&gt;&apos;Property Calculator&apos;!$B$70*12,0,MAX(0,D284-G284-J284))</f><v>100766.11263030092</v></c><c r="J284" s="72"><f>IF(OR(A284&gt;&apos;Property Calculator&apos;!$B$70*12,D284&lt;=0),0,MIN(H284,MAX(0,D284-G284)))</f><v>0</v></c></row><row r="285" spans="1:10" x14ac:dyDescent="0.25"><c r="A285"><v>282</v></c><c r="B285"><f t="shared" si="4"/>&lt;v&gt;24&lt;/v&gt;&lt;/c&gt;&lt;c r=&quot;C285&quot; s=&quot;37&quot;&gt;&lt;f&gt;IF(A285&gt;&apos;Property Calculator&apos;!$B$70*12,0,IF(AND(&apos;Property Calculator&apos;!$B$72=1,B285&gt;&apos;Property Calculator&apos;!$B$69),&apos;Property Calculator&apos;!$B$73,&apos;Property Calculator&apos;!$B$65))</f><v>3.5000000000000003E-2</v></c><c r="D285" s="72"><f>IF(A285&gt;&apos;Property Calculator&apos;!$B$70*12,0,I284)</f><v>100766.11263030092</v></c><c r="E285" s="72"><f>IF(OR(A285&gt;&apos;Property Calculator&apos;!$B$70*12,D285&lt;=0),0,IF(AND(&apos;Property Calculator&apos;!$B$72=1,B285&gt;&apos;Property Calculator&apos;!$B$69),MIN(D285*C285/12+&apos;Property Calculator&apos;!$B$74/12,D285*(1+C285/12)),MIN(&apos;Property Calculator&apos;!$B$67,D285*(1+C285/12))))</f><v>1429.9603560928113</v></c><c r="F285" s="72"><f>IF(OR(A285&gt;&apos;Property Calculator&apos;!$B$70*12,D285&lt;=0),0,D285*C285/12)</f><v>293.90116183837773</v></c><c r="G285" s="72"><f>IF(OR(A285&gt;&apos;Property Calculator&apos;!$B$70*12,D285&lt;=0),0,MAX(0,MIN(D285,E285-F285)))</f><v>1136.0591942544336</v></c><c r="H285" s="126"><v>0</v></c><c r="I285" s="72"><f>IF(A285&gt;&apos;Property Calculator&apos;!$B$70*12,0,MAX(0,D285-G285-J285))</f><v>99630.053436046495</v></c><c r="J285" s="72"><f>IF(OR(A285&gt;&apos;Property Calculator&apos;!$B$70*12,D285&lt;=0),0,MIN(H285,MAX(0,D285-G285)))</f><v>0</v></c></row><row r="286" spans="1:10" x14ac:dyDescent="0.25"><c r="A286"><v>283</v></c><c r="B286"><f t="shared" si="4"/>&lt;v&gt;24&lt;/v&gt;&lt;/c&gt;&lt;c r=&quot;C286&quot; s=&quot;37&quot;&gt;&lt;f&gt;IF(A286&gt;&apos;Property Calculator&apos;!$B$70*12,0,IF(AND(&apos;Property Calculator&apos;!$B$72=1,B286&gt;&apos;Property Calculator&apos;!$B$69),&apos;Property Calculator&apos;!$B$73,&apos;Property Calculator&apos;!$B$65))</f><v>3.5000000000000003E-2</v></c><c r="D286" s="72"><f>IF(A286&gt;&apos;Property Calculator&apos;!$B$70*12,0,I285)</f><v>99630.053436046495</v></c><c r="E286" s="72"><f>IF(OR(A286&gt;&apos;Property Calculator&apos;!$B$70*12,D286&lt;=0),0,IF(AND(&apos;Property Calculator&apos;!$B$72=1,B286&gt;&apos;Property Calculator&apos;!$B$69),MIN(D286*C286/12+&apos;Property Calculator&apos;!$B$74/12,D286*(1+C286/12)),MIN(&apos;Property Calculator&apos;!$B$67,D286*(1+C286/12))))</f><v>1429.9603560928113</v></c><c r="F286" s="72"><f>IF(OR(A286&gt;&apos;Property Calculator&apos;!$B$70*12,D286&lt;=0),0,D286*C286/12)</f><v>290.58765585513567</v></c><c r="G286" s="72"><f>IF(OR(A286&gt;&apos;Property Calculator&apos;!$B$70*12,D286&lt;=0),0,MAX(0,MIN(D286,E286-F286)))</f><v>1139.3727002376756</v></c><c r="H286" s="126"><v>0</v></c><c r="I286" s="72"><f>IF(A286&gt;&apos;Property Calculator&apos;!$B$70*12,0,MAX(0,D286-G286-J286))</f><v>98490.680735808826</v></c><c r="J286" s="72"><f>IF(OR(A286&gt;&apos;Property Calculator&apos;!$B$70*12,D286&lt;=0),0,MIN(H286,MAX(0,D286-G286)))</f><v>0</v></c></row><row r="287" spans="1:10" x14ac:dyDescent="0.25"><c r="A287"><v>284</v></c><c r="B287"><f t="shared" si="4"/>&lt;v&gt;24&lt;/v&gt;&lt;/c&gt;&lt;c r=&quot;C287&quot; s=&quot;37&quot;&gt;&lt;f&gt;IF(A287&gt;&apos;Property Calculator&apos;!$B$70*12,0,IF(AND(&apos;Property Calculator&apos;!$B$72=1,B287&gt;&apos;Property Calculator&apos;!$B$69),&apos;Property Calculator&apos;!$B$73,&apos;Property Calculator&apos;!$B$65))</f><v>3.5000000000000003E-2</v></c><c r="D287" s="72"><f>IF(A287&gt;&apos;Property Calculator&apos;!$B$70*12,0,I286)</f><v>98490.680735808826</v></c><c r="E287" s="72"><f>IF(OR(A287&gt;&apos;Property Calculator&apos;!$B$70*12,D287&lt;=0),0,IF(AND(&apos;Property Calculator&apos;!$B$72=1,B287&gt;&apos;Property Calculator&apos;!$B$69),MIN(D287*C287/12+&apos;Property Calculator&apos;!$B$74/12,D287*(1+C287/12)),MIN(&apos;Property Calculator&apos;!$B$67,D287*(1+C287/12))))</f><v>1429.9603560928113</v></c><c r="F287" s="72"><f>IF(OR(A287&gt;&apos;Property Calculator&apos;!$B$70*12,D287&lt;=0),0,D287*C287/12)</f><v>287.26448547944244</v></c><c r="G287" s="72"><f>IF(OR(A287&gt;&apos;Property Calculator&apos;!$B$70*12,D287&lt;=0),0,MAX(0,MIN(D287,E287-F287)))</f><v>1142.6958706133687</v></c><c r="H287" s="126"><v>0</v></c><c r="I287" s="72"><f>IF(A287&gt;&apos;Property Calculator&apos;!$B$70*12,0,MAX(0,D287-G287-J287))</f><v>97347.984865195453</v></c><c r="J287" s="72"><f>IF(OR(A287&gt;&apos;Property Calculator&apos;!$B$70*12,D287&lt;=0),0,MIN(H287,MAX(0,D287-G287)))</f><v>0</v></c></row><row r="288" spans="1:10" x14ac:dyDescent="0.25"><c r="A288"><v>285</v></c><c r="B288"><f t="shared" si="4"/>&lt;v&gt;24&lt;/v&gt;&lt;/c&gt;&lt;c r=&quot;C288&quot; s=&quot;37&quot;&gt;&lt;f&gt;IF(A288&gt;&apos;Property Calculator&apos;!$B$70*12,0,IF(AND(&apos;Property Calculator&apos;!$B$72=1,B288&gt;&apos;Property Calculator&apos;!$B$69),&apos;Property Calculator&apos;!$B$73,&apos;Property Calculator&apos;!$B$65))</f><v>3.5000000000000003E-2</v></c><c r="D288" s="72"><f>IF(A288&gt;&apos;Property Calculator&apos;!$B$70*12,0,I287)</f><v>97347.984865195453</v></c><c r="E288" s="72"><f>IF(OR(A288&gt;&apos;Property Calculator&apos;!$B$70*12,D288&lt;=0),0,IF(AND(&apos;Property Calculator&apos;!$B$72=1,B288&gt;&apos;Property Calculator&apos;!$B$69),MIN(D288*C288/12+&apos;Property Calculator&apos;!$B$74/12,D288*(1+C288/12)),MIN(&apos;Property Calculator&apos;!$B$67,D288*(1+C288/12))))</f><v>1429.9603560928113</v></c><c r="F288" s="72"><f>IF(OR(A288&gt;&apos;Property Calculator&apos;!$B$70*12,D288&lt;=0),0,D288*C288/12)</f><v>283.93162252348674</v></c><c r="G288" s="72"><f>IF(OR(A288&gt;&apos;Property Calculator&apos;!$B$70*12,D288&lt;=0),0,MAX(0,MIN(D288,E288-F288)))</f><v>1146.0287335693245</v></c><c r="H288" s="126"><v>0</v></c><c r="I288" s="72"><f>IF(A288&gt;&apos;Property Calculator&apos;!$B$70*12,0,MAX(0,D288-G288-J288))</f><v>96201.956131626124</v></c><c r="J288" s="72"><f>IF(OR(A288&gt;&apos;Property Calculator&apos;!$B$70*12,D288&lt;=0),0,MIN(H288,MAX(0,D288-G288)))</f><v>0</v></c></row><row r="289" spans="1:10" x14ac:dyDescent="0.25"><c r="A289"><v>286</v></c><c r="B289"><f t="shared" si="4"/>&lt;v&gt;24&lt;/v&gt;&lt;/c&gt;&lt;c r=&quot;C289&quot; s=&quot;37&quot;&gt;&lt;f&gt;IF(A289&gt;&apos;Property Calculator&apos;!$B$70*12,0,IF(AND(&apos;Property Calculator&apos;!$B$72=1,B289&gt;&apos;Property Calculator&apos;!$B$69),&apos;Property Calculator&apos;!$B$73,&apos;Property Calculator&apos;!$B$65))</f><v>3.5000000000000003E-2</v></c><c r="D289" s="72"><f>IF(A289&gt;&apos;Property Calculator&apos;!$B$70*12,0,I288)</f><v>96201.956131626124</v></c><c r="E289" s="72"><f>IF(OR(A289&gt;&apos;Property Calculator&apos;!$B$70*12,D289&lt;=0),0,IF(AND(&apos;Property Calculator&apos;!$B$72=1,B289&gt;&apos;Property Calculator&apos;!$B$69),MIN(D289*C289/12+&apos;Property Calculator&apos;!$B$74/12,D289*(1+C289/12)),MIN(&apos;Property Calculator&apos;!$B$67,D289*(1+C289/12))))</f><v>1429.9603560928113</v></c><c r="F289" s="72"><f>IF(OR(A289&gt;&apos;Property Calculator&apos;!$B$70*12,D289&lt;=0),0,D289*C289/12)</f><v>280.58903871724289</v></c><c r="G289" s="72"><f>IF(OR(A289&gt;&apos;Property Calculator&apos;!$B$70*12,D289&lt;=0),0,MAX(0,MIN(D289,E289-F289)))</f><v>1149.3713173755684</v></c><c r="H289" s="126"><v>0</v></c><c r="I289" s="72"><f>IF(A289&gt;&apos;Property Calculator&apos;!$B$70*12,0,MAX(0,D289-G289-J289))</f><v>95052.584814250557</v></c><c r="J289" s="72"><f>IF(OR(A289&gt;&apos;Property Calculator&apos;!$B$70*12,D289&lt;=0),0,MIN(H289,MAX(0,D289-G289)))</f><v>0</v></c></row><row r="290" spans="1:10" x14ac:dyDescent="0.25"><c r="A290"><v>287</v></c><c r="B290"><f t="shared" si="4"/>&lt;v&gt;24&lt;/v&gt;&lt;/c&gt;&lt;c r=&quot;C290&quot; s=&quot;37&quot;&gt;&lt;f&gt;IF(A290&gt;&apos;Property Calculator&apos;!$B$70*12,0,IF(AND(&apos;Property Calculator&apos;!$B$72=1,B290&gt;&apos;Property Calculator&apos;!$B$69),&apos;Property Calculator&apos;!$B$73,&apos;Property Calculator&apos;!$B$65))</f><v>3.5000000000000003E-2</v></c><c r="D290" s="72"><f>IF(A290&gt;&apos;Property Calculator&apos;!$B$70*12,0,I289)</f><v>95052.584814250557</v></c><c r="E290" s="72"><f>IF(OR(A290&gt;&apos;Property Calculator&apos;!$B$70*12,D290&lt;=0),0,IF(AND(&apos;Property Calculator&apos;!$B$72=1,B290&gt;&apos;Property Calculator&apos;!$B$69),MIN(D290*C290/12+&apos;Property Calculator&apos;!$B$74/12,D290*(1+C290/12)),MIN(&apos;Property Calculator&apos;!$B$67,D290*(1+C290/12))))</f><v>1429.9603560928113</v></c><c r="F290" s="72"><f>IF(OR(A290&gt;&apos;Property Calculator&apos;!$B$70*12,D290&lt;=0),0,D290*C290/12)</f><v>277.23670570823083</v></c><c r="G290" s="72"><f>IF(OR(A290&gt;&apos;Property Calculator&apos;!$B$70*12,D290&lt;=0),0,MAX(0,MIN(D290,E290-F290)))</f><v>1152.7236503845804</v></c><c r="H290" s="126"><v>0</v></c><c r="I290" s="72"><f>IF(A290&gt;&apos;Property Calculator&apos;!$B$70*12,0,MAX(0,D290-G290-J290))</f><v>93899.861163865979</v></c><c r="J290" s="72"><f>IF(OR(A290&gt;&apos;Property Calculator&apos;!$B$70*12,D290&lt;=0),0,MIN(H290,MAX(0,D290-G290)))</f><v>0</v></c></row><row r="291" spans="1:10" x14ac:dyDescent="0.25"><c r="A291"><v>288</v></c><c r="B291"><f t="shared" si="4"/>&lt;v&gt;24&lt;/v&gt;&lt;/c&gt;&lt;c r=&quot;C291&quot; s=&quot;37&quot;&gt;&lt;f&gt;IF(A291&gt;&apos;Property Calculator&apos;!$B$70*12,0,IF(AND(&apos;Property Calculator&apos;!$B$72=1,B291&gt;&apos;Property Calculator&apos;!$B$69),&apos;Property Calculator&apos;!$B$73,&apos;Property Calculator&apos;!$B$65))</f><v>3.5000000000000003E-2</v></c><c r="D291" s="72"><f>IF(A291&gt;&apos;Property Calculator&apos;!$B$70*12,0,I290)</f><v>93899.861163865979</v></c><c r="E291" s="72"><f>IF(OR(A291&gt;&apos;Property Calculator&apos;!$B$70*12,D291&lt;=0),0,IF(AND(&apos;Property Calculator&apos;!$B$72=1,B291&gt;&apos;Property Calculator&apos;!$B$69),MIN(D291*C291/12+&apos;Property Calculator&apos;!$B$74/12,D291*(1+C291/12)),MIN(&apos;Property Calculator&apos;!$B$67,D291*(1+C291/12))))</f><v>1429.9603560928113</v></c><c r="F291" s="72"><f>IF(OR(A291&gt;&apos;Property Calculator&apos;!$B$70*12,D291&lt;=0),0,D291*C291/12)</f><v>273.87459506127578</v></c><c r="G291" s="72"><f>IF(OR(A291&gt;&apos;Property Calculator&apos;!$B$70*12,D291&lt;=0),0,MAX(0,MIN(D291,E291-F291)))</f><v>1156.0857610315354</v></c><c r="H291" s="126"><v>0</v></c><c r="I291" s="72"><f>IF(A291&gt;&apos;Property Calculator&apos;!$B$70*12,0,MAX(0,D291-G291-J291))</f><v>92743.77540283445</v></c><c r="J291" s="72"><f>IF(OR(A291&gt;&apos;Property Calculator&apos;!$B$70*12,D291&lt;=0),0,MIN(H291,MAX(0,D291-G291)))</f><v>0</v></c></row><row r="292" spans="1:10" x14ac:dyDescent="0.25"><c r="A292"><v>289</v></c><c r="B292"><f t="shared" si="4"/>&lt;v&gt;25&lt;/v&gt;&lt;/c&gt;&lt;c r=&quot;C292&quot; s=&quot;37&quot;&gt;&lt;f&gt;IF(A292&gt;&apos;Property Calculator&apos;!$B$70*12,0,IF(AND(&apos;Property Calculator&apos;!$B$72=1,B292&gt;&apos;Property Calculator&apos;!$B$69),&apos;Property Calculator&apos;!$B$73,&apos;Property Calculator&apos;!$B$65))</f><v>3.5000000000000003E-2</v></c><c r="D292" s="72"><f>IF(A292&gt;&apos;Property Calculator&apos;!$B$70*12,0,I291)</f><v>92743.77540283445</v></c><c r="E292" s="72"><f>IF(OR(A292&gt;&apos;Property Calculator&apos;!$B$70*12,D292&lt;=0),0,IF(AND(&apos;Property Calculator&apos;!$B$72=1,B292&gt;&apos;Property Calculator&apos;!$B$69),MIN(D292*C292/12+&apos;Property Calculator&apos;!$B$74/12,D292*(1+C292/12)),MIN(&apos;Property Calculator&apos;!$B$67,D292*(1+C292/12))))</f><v>1429.9603560928113</v></c><c r="F292" s="72"><f>IF(OR(A292&gt;&apos;Property Calculator&apos;!$B$70*12,D292&lt;=0),0,D292*C292/12)</f><v>270.50267825826717</v></c><c r="G292" s="72"><f>IF(OR(A292&gt;&apos;Property Calculator&apos;!$B$70*12,D292&lt;=0),0,MAX(0,MIN(D292,E292-F292)))</f><v>1159.457677834544</v></c><c r="H292" s="126"><v>0</v></c><c r="I292" s="72"><f>IF(A292&gt;&apos;Property Calculator&apos;!$B$70*12,0,MAX(0,D292-G292-J292))</f><v>91584.317724999899</v></c><c r="J292" s="72"><f>IF(OR(A292&gt;&apos;Property Calculator&apos;!$B$70*12,D292&lt;=0),0,MIN(H292,MAX(0,D292-G292)))</f><v>0</v></c></row><row r="293" spans="1:10" x14ac:dyDescent="0.25"><c r="A293"><v>290</v></c><c r="B293"><f t="shared" si="4"/>&lt;v&gt;25&lt;/v&gt;&lt;/c&gt;&lt;c r=&quot;C293&quot; s=&quot;37&quot;&gt;&lt;f&gt;IF(A293&gt;&apos;Property Calculator&apos;!$B$70*12,0,IF(AND(&apos;Property Calculator&apos;!$B$72=1,B293&gt;&apos;Property Calculator&apos;!$B$69),&apos;Property Calculator&apos;!$B$73,&apos;Property Calculator&apos;!$B$65))</f><v>3.5000000000000003E-2</v></c><c r="D293" s="72"><f>IF(A293&gt;&apos;Property Calculator&apos;!$B$70*12,0,I292)</f><v>91584.317724999899</v></c><c r="E293" s="72"><f>IF(OR(A293&gt;&apos;Property Calculator&apos;!$B$70*12,D293&lt;=0),0,IF(AND(&apos;Property Calculator&apos;!$B$72=1,B293&gt;&apos;Property Calculator&apos;!$B$69),MIN(D293*C293/12+&apos;Property Calculator&apos;!$B$74/12,D293*(1+C293/12)),MIN(&apos;Property Calculator&apos;!$B$67,D293*(1+C293/12))))</f><v>1429.9603560928113</v></c><c r="F293" s="72"><f>IF(OR(A293&gt;&apos;Property Calculator&apos;!$B$70*12,D293&lt;=0),0,D293*C293/12)</f><v>267.12092669791639</v></c><c r="G293" s="72"><f>IF(OR(A293&gt;&apos;Property Calculator&apos;!$B$70*12,D293&lt;=0),0,MAX(0,MIN(D293,E293-F293)))</f><v>1162.839429394895</v></c><c r="H293" s="126"><v>0</v></c><c r="I293" s="72"><f>IF(A293&gt;&apos;Property Calculator&apos;!$B$70*12,0,MAX(0,D293-G293-J293))</f><v>90421.478295605004</v></c><c r="J293" s="72"><f>IF(OR(A293&gt;&apos;Property Calculator&apos;!$B$70*12,D293&lt;=0),0,MIN(H293,MAX(0,D293-G293)))</f><v>0</v></c></row><row r="294" spans="1:10" x14ac:dyDescent="0.25"><c r="A294"><v>291</v></c><c r="B294"><f t="shared" si="4"/>&lt;v&gt;25&lt;/v&gt;&lt;/c&gt;&lt;c r=&quot;C294&quot; s=&quot;37&quot;&gt;&lt;f&gt;IF(A294&gt;&apos;Property Calculator&apos;!$B$70*12,0,IF(AND(&apos;Property Calculator&apos;!$B$72=1,B294&gt;&apos;Property Calculator&apos;!$B$69),&apos;Property Calculator&apos;!$B$73,&apos;Property Calculator&apos;!$B$65))</f><v>3.5000000000000003E-2</v></c><c r="D294" s="72"><f>IF(A294&gt;&apos;Property Calculator&apos;!$B$70*12,0,I293)</f><v>90421.478295605004</v></c><c r="E294" s="72"><f>IF(OR(A294&gt;&apos;Property Calculator&apos;!$B$70*12,D294&lt;=0),0,IF(AND(&apos;Property Calculator&apos;!$B$72=1,B294&gt;&apos;Property Calculator&apos;!$B$69),MIN(D294*C294/12+&apos;Property Calculator&apos;!$B$74/12,D294*(1+C294/12)),MIN(&apos;Property Calculator&apos;!$B$67,D294*(1+C294/12))))</f><v>1429.9603560928113</v></c><c r="F294" s="72"><f>IF(OR(A294&gt;&apos;Property Calculator&apos;!$B$70*12,D294&lt;=0),0,D294*C294/12)</f><v>263.72931169551464</v></c><c r="G294" s="72"><f>IF(OR(A294&gt;&apos;Property Calculator&apos;!$B$70*12,D294&lt;=0),0,MAX(0,MIN(D294,E294-F294)))</f><v>1166.2310443972965</v></c><c r="H294" s="126"><v>0</v></c><c r="I294" s="72"><f>IF(A294&gt;&apos;Property Calculator&apos;!$B$70*12,0,MAX(0,D294-G294-J294))</f><v>89255.247251207707</v></c><c r="J294" s="72"><f>IF(OR(A294&gt;&apos;Property Calculator&apos;!$B$70*12,D294&lt;=0),0,MIN(H294,MAX(0,D294-G294)))</f><v>0</v></c></row><row r="295" spans="1:10" x14ac:dyDescent="0.25"><c r="A295"><v>292</v></c><c r="B295"><f t="shared" si="4"/>&lt;v&gt;25&lt;/v&gt;&lt;/c&gt;&lt;c r=&quot;C295&quot; s=&quot;37&quot;&gt;&lt;f&gt;IF(A295&gt;&apos;Property Calculator&apos;!$B$70*12,0,IF(AND(&apos;Property Calculator&apos;!$B$72=1,B295&gt;&apos;Property Calculator&apos;!$B$69),&apos;Property Calculator&apos;!$B$73,&apos;Property Calculator&apos;!$B$65))</f><v>3.5000000000000003E-2</v></c><c r="D295" s="72"><f>IF(A295&gt;&apos;Property Calculator&apos;!$B$70*12,0,I294)</f><v>89255.247251207707</v></c><c r="E295" s="72"><f>IF(OR(A295&gt;&apos;Property Calculator&apos;!$B$70*12,D295&lt;=0),0,IF(AND(&apos;Property Calculator&apos;!$B$72=1,B295&gt;&apos;Property Calculator&apos;!$B$69),MIN(D295*C295/12+&apos;Property Calculator&apos;!$B$74/12,D295*(1+C295/12)),MIN(&apos;Property Calculator&apos;!$B$67,D295*(1+C295/12))))</f><v>1429.9603560928113</v></c><c r="F295" s="72"><f>IF(OR(A295&gt;&apos;Property Calculator&apos;!$B$70*12,D295&lt;=0),0,D295*C295/12)</f><v>260.32780448268915</v></c><c r="G295" s="72"><f>IF(OR(A295&gt;&apos;Property Calculator&apos;!$B$70*12,D295&lt;=0),0,MAX(0,MIN(D295,E295-F295)))</f><v>1169.6325516101222</v></c><c r="H295" s="126"><v>0</v></c><c r="I295" s="72"><f>IF(A295&gt;&apos;Property Calculator&apos;!$B$70*12,0,MAX(0,D295-G295-J295))</f><v>88085.614699597587</v></c><c r="J295" s="72"><f>IF(OR(A295&gt;&apos;Property Calculator&apos;!$B$70*12,D295&lt;=0),0,MIN(H295,MAX(0,D295-G295)))</f><v>0</v></c></row><row r="296" spans="1:10" x14ac:dyDescent="0.25"><c r="A296"><v>293</v></c><c r="B296"><f t="shared" si="4"/>&lt;v&gt;25&lt;/v&gt;&lt;/c&gt;&lt;c r=&quot;C296&quot; s=&quot;37&quot;&gt;&lt;f&gt;IF(A296&gt;&apos;Property Calculator&apos;!$B$70*12,0,IF(AND(&apos;Property Calculator&apos;!$B$72=1,B296&gt;&apos;Property Calculator&apos;!$B$69),&apos;Property Calculator&apos;!$B$73,&apos;Property Calculator&apos;!$B$65))</f><v>3.5000000000000003E-2</v></c><c r="D296" s="72"><f>IF(A296&gt;&apos;Property Calculator&apos;!$B$70*12,0,I295)</f><v>88085.614699597587</v></c><c r="E296" s="72"><f>IF(OR(A296&gt;&apos;Property Calculator&apos;!$B$70*12,D296&lt;=0),0,IF(AND(&apos;Property Calculator&apos;!$B$72=1,B296&gt;&apos;Property Calculator&apos;!$B$69),MIN(D296*C296/12+&apos;Property Calculator&apos;!$B$74/12,D296*(1+C296/12)),MIN(&apos;Property Calculator&apos;!$B$67,D296*(1+C296/12))))</f><v>1429.9603560928113</v></c><c r="F296" s="72"><f>IF(OR(A296&gt;&apos;Property Calculator&apos;!$B$70*12,D296&lt;=0),0,D296*C296/12)</f><v>256.91637620715966</v></c><c r="G296" s="72"><f>IF(OR(A296&gt;&apos;Property Calculator&apos;!$B$70*12,D296&lt;=0),0,MAX(0,MIN(D296,E296-F296)))</f><v>1173.0439798856517</v></c><c r="H296" s="126"><v>0</v></c><c r="I296" s="72"><f>IF(A296&gt;&apos;Property Calculator&apos;!$B$70*12,0,MAX(0,D296-G296-J296))</f><v>86912.570719711934</v></c><c r="J296" s="72"><f>IF(OR(A296&gt;&apos;Property Calculator&apos;!$B$70*12,D296&lt;=0),0,MIN(H296,MAX(0,D296-G296)))</f><v>0</v></c></row><row r="297" spans="1:10" x14ac:dyDescent="0.25"><c r="A297"><v>294</v></c><c r="B297"><f t="shared" si="4"/>&lt;v&gt;25&lt;/v&gt;&lt;/c&gt;&lt;c r=&quot;C297&quot; s=&quot;37&quot;&gt;&lt;f&gt;IF(A297&gt;&apos;Property Calculator&apos;!$B$70*12,0,IF(AND(&apos;Property Calculator&apos;!$B$72=1,B297&gt;&apos;Property Calculator&apos;!$B$69),&apos;Property Calculator&apos;!$B$73,&apos;Property Calculator&apos;!$B$65))</f><v>3.5000000000000003E-2</v></c><c r="D297" s="72"><f>IF(A297&gt;&apos;Property Calculator&apos;!$B$70*12,0,I296)</f><v>86912.570719711934</v></c><c r="E297" s="72"><f>IF(OR(A297&gt;&apos;Property Calculator&apos;!$B$70*12,D297&lt;=0),0,IF(AND(&apos;Property Calculator&apos;!$B$72=1,B297&gt;&apos;Property Calculator&apos;!$B$69),MIN(D297*C297/12+&apos;Property Calculator&apos;!$B$74/12,D297*(1+C297/12)),MIN(&apos;Property Calculator&apos;!$B$67,D297*(1+C297/12))))</f><v>1429.9603560928113</v></c><c r="F297" s="72"><f>IF(OR(A297&gt;&apos;Property Calculator&apos;!$B$70*12,D297&lt;=0),0,D297*C297/12)</f><v>253.49499793249319</v></c><c r="G297" s="72"><f>IF(OR(A297&gt;&apos;Property Calculator&apos;!$B$70*12,D297&lt;=0),0,MAX(0,MIN(D297,E297-F297)))</f><v>1176.4653581603181</v></c><c r="H297" s="126"><v>0</v></c><c r="I297" s="72"><f>IF(A297&gt;&apos;Property Calculator&apos;!$B$70*12,0,MAX(0,D297-G297-J297))</f><v>85736.105361551614</v></c><c r="J297" s="72"><f>IF(OR(A297&gt;&apos;Property Calculator&apos;!$B$70*12,D297&lt;=0),0,MIN(H297,MAX(0,D297-G297)))</f><v>0</v></c></row><row r="298" spans="1:10" x14ac:dyDescent="0.25"><c r="A298"><v>295</v></c><c r="B298"><f t="shared" si="4"/>&lt;v&gt;25&lt;/v&gt;&lt;/c&gt;&lt;c r=&quot;C298&quot; s=&quot;37&quot;&gt;&lt;f&gt;IF(A298&gt;&apos;Property Calculator&apos;!$B$70*12,0,IF(AND(&apos;Property Calculator&apos;!$B$72=1,B298&gt;&apos;Property Calculator&apos;!$B$69),&apos;Property Calculator&apos;!$B$73,&apos;Property Calculator&apos;!$B$65))</f><v>3.5000000000000003E-2</v></c><c r="D298" s="72"><f>IF(A298&gt;&apos;Property Calculator&apos;!$B$70*12,0,I297)</f><v>85736.105361551614</v></c><c r="E298" s="72"><f>IF(OR(A298&gt;&apos;Property Calculator&apos;!$B$70*12,D298&lt;=0),0,IF(AND(&apos;Property Calculator&apos;!$B$72=1,B298&gt;&apos;Property Calculator&apos;!$B$69),MIN(D298*C298/12+&apos;Property Calculator&apos;!$B$74/12,D298*(1+C298/12)),MIN(&apos;Property Calculator&apos;!$B$67,D298*(1+C298/12))))</f><v>1429.9603560928113</v></c><c r="F298" s="72"><f>IF(OR(A298&gt;&apos;Property Calculator&apos;!$B$70*12,D298&lt;=0),0,D298*C298/12)</f><v>250.06364063785892</v></c><c r="G298" s="72"><f>IF(OR(A298&gt;&apos;Property Calculator&apos;!$B$70*12,D298&lt;=0),0,MAX(0,MIN(D298,E298-F298)))</f><v>1179.8967154549523</v></c><c r="H298" s="126"><v>0</v></c><c r="I298" s="72"><f>IF(A298&gt;&apos;Property Calculator&apos;!$B$70*12,0,MAX(0,D298-G298-J298))</f><v>84556.208646096668</v></c><c r="J298" s="72"><f>IF(OR(A298&gt;&apos;Property Calculator&apos;!$B$70*12,D298&lt;=0),0,MIN(H298,MAX(0,D298-G298)))</f><v>0</v></c></row><row r="299" spans="1:10" x14ac:dyDescent="0.25"><c r="A299"><v>296</v></c><c r="B299"><f t="shared" si="4"/>&lt;v&gt;25&lt;/v&gt;&lt;/c&gt;&lt;c r=&quot;C299&quot; s=&quot;37&quot;&gt;&lt;f&gt;IF(A299&gt;&apos;Property Calculator&apos;!$B$70*12,0,IF(AND(&apos;Property Calculator&apos;!$B$72=1,B299&gt;&apos;Property Calculator&apos;!$B$69),&apos;Property Calculator&apos;!$B$73,&apos;Property Calculator&apos;!$B$65))</f><v>3.5000000000000003E-2</v></c><c r="D299" s="72"><f>IF(A299&gt;&apos;Property Calculator&apos;!$B$70*12,0,I298)</f><v>84556.208646096668</v></c><c r="E299" s="72"><f>IF(OR(A299&gt;&apos;Property Calculator&apos;!$B$70*12,D299&lt;=0),0,IF(AND(&apos;Property Calculator&apos;!$B$72=1,B299&gt;&apos;Property Calculator&apos;!$B$69),MIN(D299*C299/12+&apos;Property Calculator&apos;!$B$74/12,D299*(1+C299/12)),MIN(&apos;Property Calculator&apos;!$B$67,D299*(1+C299/12))))</f><v>1429.9603560928113</v></c><c r="F299" s="72"><f>IF(OR(A299&gt;&apos;Property Calculator&apos;!$B$70*12,D299&lt;=0),0,D299*C299/12)</f><v>246.62227521778198</v></c><c r="G299" s="72"><f>IF(OR(A299&gt;&apos;Property Calculator&apos;!$B$70*12,D299&lt;=0),0,MAX(0,MIN(D299,E299-F299)))</f><v>1183.3380808750294</v></c><c r="H299" s="126"><v>0</v></c><c r="I299" s="72"><f>IF(A299&gt;&apos;Property Calculator&apos;!$B$70*12,0,MAX(0,D299-G299-J299))</f><v>83372.870565221645</v></c><c r="J299" s="72"><f>IF(OR(A299&gt;&apos;Property Calculator&apos;!$B$70*12,D299&lt;=0),0,MIN(H299,MAX(0,D299-G299)))</f><v>0</v></c></row><row r="300" spans="1:10" x14ac:dyDescent="0.25"><c r="A300"><v>297</v></c><c r="B300"><f t="shared" si="4"/>&lt;v&gt;25&lt;/v&gt;&lt;/c&gt;&lt;c r=&quot;C300&quot; s=&quot;37&quot;&gt;&lt;f&gt;IF(A300&gt;&apos;Property Calculator&apos;!$B$70*12,0,IF(AND(&apos;Property Calculator&apos;!$B$72=1,B300&gt;&apos;Property Calculator&apos;!$B$69),&apos;Property Calculator&apos;!$B$73,&apos;Property Calculator&apos;!$B$65))</f><v>3.5000000000000003E-2</v></c><c r="D300" s="72"><f>IF(A300&gt;&apos;Property Calculator&apos;!$B$70*12,0,I299)</f><v>83372.870565221645</v></c><c r="E300" s="72"><f>IF(OR(A300&gt;&apos;Property Calculator&apos;!$B$70*12,D300&lt;=0),0,IF(AND(&apos;Property Calculator&apos;!$B$72=1,B300&gt;&apos;Property Calculator&apos;!$B$69),MIN(D300*C300/12+&apos;Property Calculator&apos;!$B$74/12,D300*(1+C300/12)),MIN(&apos;Property Calculator&apos;!$B$67,D300*(1+C300/12))))</f><v>1429.9603560928113</v></c><c r="F300" s="72"><f>IF(OR(A300&gt;&apos;Property Calculator&apos;!$B$70*12,D300&lt;=0),0,D300*C300/12)</f><v>243.17087248189648</v></c><c r="G300" s="72"><f>IF(OR(A300&gt;&apos;Property Calculator&apos;!$B$70*12,D300&lt;=0),0,MAX(0,MIN(D300,E300-F300)))</f><v>1186.7894836109149</v></c><c r="H300" s="126"><v>0</v></c><c r="I300" s="72"><f>IF(A300&gt;&apos;Property Calculator&apos;!$B$70*12,0,MAX(0,D300-G300-J300))</f><v>82186.081081610726</v></c><c r="J300" s="72"><f>IF(OR(A300&gt;&apos;Property Calculator&apos;!$B$70*12,D300&lt;=0),0,MIN(H300,MAX(0,D300-G300)))</f><v>0</v></c></row><row r="301" spans="1:10" x14ac:dyDescent="0.25"><c r="A301"><v>298</v></c><c r="B301"><f t="shared" si="4"/>&lt;v&gt;25&lt;/v&gt;&lt;/c&gt;&lt;c r=&quot;C301&quot; s=&quot;37&quot;&gt;&lt;f&gt;IF(A301&gt;&apos;Property Calculator&apos;!$B$70*12,0,IF(AND(&apos;Property Calculator&apos;!$B$72=1,B301&gt;&apos;Property Calculator&apos;!$B$69),&apos;Property Calculator&apos;!$B$73,&apos;Property Calculator&apos;!$B$65))</f><v>3.5000000000000003E-2</v></c><c r="D301" s="72"><f>IF(A301&gt;&apos;Property Calculator&apos;!$B$70*12,0,I300)</f><v>82186.081081610726</v></c><c r="E301" s="72"><f>IF(OR(A301&gt;&apos;Property Calculator&apos;!$B$70*12,D301&lt;=0),0,IF(AND(&apos;Property Calculator&apos;!$B$72=1,B301&gt;&apos;Property Calculator&apos;!$B$69),MIN(D301*C301/12+&apos;Property Calculator&apos;!$B$74/12,D301*(1+C301/12)),MIN(&apos;Property Calculator&apos;!$B$67,D301*(1+C301/12))))</f><v>1429.9603560928113</v></c><c r="F301" s="72"><f>IF(OR(A301&gt;&apos;Property Calculator&apos;!$B$70*12,D301&lt;=0),0,D301*C301/12)</f><v>239.70940315469798</v></c><c r="G301" s="72"><f>IF(OR(A301&gt;&apos;Property Calculator&apos;!$B$70*12,D301&lt;=0),0,MAX(0,MIN(D301,E301-F301)))</f><v>1190.2509529381132</v></c><c r="H301" s="126"><v>0</v></c><c r="I301" s="72"><f>IF(A301&gt;&apos;Property Calculator&apos;!$B$70*12,0,MAX(0,D301-G301-J301))</f><v>80995.83012867262</v></c><c r="J301" s="72"><f>IF(OR(A301&gt;&apos;Property Calculator&apos;!$B$70*12,D301&lt;=0),0,MIN(H301,MAX(0,D301-G301)))</f><v>0</v></c></row><row r="302" spans="1:10" x14ac:dyDescent="0.25"><c r="A302"><v>299</v></c><c r="B302"><f t="shared" si="4"/>&lt;v&gt;25&lt;/v&gt;&lt;/c&gt;&lt;c r=&quot;C302&quot; s=&quot;37&quot;&gt;&lt;f&gt;IF(A302&gt;&apos;Property Calculator&apos;!$B$70*12,0,IF(AND(&apos;Property Calculator&apos;!$B$72=1,B302&gt;&apos;Property Calculator&apos;!$B$69),&apos;Property Calculator&apos;!$B$73,&apos;Property Calculator&apos;!$B$65))</f><v>3.5000000000000003E-2</v></c><c r="D302" s="72"><f>IF(A302&gt;&apos;Property Calculator&apos;!$B$70*12,0,I301)</f><v>80995.83012867262</v></c><c r="E302" s="72"><f>IF(OR(A302&gt;&apos;Property Calculator&apos;!$B$70*12,D302&lt;=0),0,IF(AND(&apos;Property Calculator&apos;!$B$72=1,B302&gt;&apos;Property Calculator&apos;!$B$69),MIN(D302*C302/12+&apos;Property Calculator&apos;!$B$74/12,D302*(1+C302/12)),MIN(&apos;Property Calculator&apos;!$B$67,D302*(1+C302/12))))</f><v>1429.9603560928113</v></c><c r="F302" s="72"><f>IF(OR(A302&gt;&apos;Property Calculator&apos;!$B$70*12,D302&lt;=0),0,D302*C302/12)</f><v>236.23783787529518</v></c><c r="G302" s="72"><f>IF(OR(A302&gt;&apos;Property Calculator&apos;!$B$70*12,D302&lt;=0),0,MAX(0,MIN(D302,E302-F302)))</f><v>1193.7225182175162</v></c><c r="H302" s="126"><v>0</v></c><c r="I302" s="72"><f>IF(A302&gt;&apos;Property Calculator&apos;!$B$70*12,0,MAX(0,D302-G302-J302))</f><v>79802.107610455103</v></c><c r="J302" s="72"><f>IF(OR(A302&gt;&apos;Property Calculator&apos;!$B$70*12,D302&lt;=0),0,MIN(H302,MAX(0,D302-G302)))</f><v>0</v></c></row><row r="303" spans="1:10" x14ac:dyDescent="0.25"><c r="A303"><v>300</v></c><c r="B303"><f t="shared" si="4"/>&lt;v&gt;25&lt;/v&gt;&lt;/c&gt;&lt;c r=&quot;C303&quot; s=&quot;37&quot;&gt;&lt;f&gt;IF(A303&gt;&apos;Property Calculator&apos;!$B$70*12,0,IF(AND(&apos;Property Calculator&apos;!$B$72=1,B303&gt;&apos;Property Calculator&apos;!$B$69),&apos;Property Calculator&apos;!$B$73,&apos;Property Calculator&apos;!$B$65))</f><v>3.5000000000000003E-2</v></c><c r="D303" s="72"><f>IF(A303&gt;&apos;Property Calculator&apos;!$B$70*12,0,I302)</f><v>79802.107610455103</v></c><c r="E303" s="72"><f>IF(OR(A303&gt;&apos;Property Calculator&apos;!$B$70*12,D303&lt;=0),0,IF(AND(&apos;Property Calculator&apos;!$B$72=1,B303&gt;&apos;Property Calculator&apos;!$B$69),MIN(D303*C303/12+&apos;Property Calculator&apos;!$B$74/12,D303*(1+C303/12)),MIN(&apos;Property Calculator&apos;!$B$67,D303*(1+C303/12))))</f><v>1429.9603560928113</v></c><c r="F303" s="72"><f>IF(OR(A303&gt;&apos;Property Calculator&apos;!$B$70*12,D303&lt;=0),0,D303*C303/12)</f><v>232.75614719716074</v></c><c r="G303" s="72"><f>IF(OR(A303&gt;&apos;Property Calculator&apos;!$B$70*12,D303&lt;=0),0,MAX(0,MIN(D303,E303-F303)))</f><v>1197.2042088956505</v></c><c r="H303" s="126"><v>0</v></c><c r="I303" s="72"><f>IF(A303&gt;&apos;Property Calculator&apos;!$B$70*12,0,MAX(0,D303-G303-J303))</f><v>78604.903401559452</v></c><c r="J303" s="72"><f>IF(OR(A303&gt;&apos;Property Calculator&apos;!$B$70*12,D303&lt;=0),0,MIN(H303,MAX(0,D303-G303)))</f><v>0</v></c></row><row r="304" spans="1:10" x14ac:dyDescent="0.25"><c r="A304"><v>301</v></c><c r="B304"><f t="shared" si="4"/>&lt;v&gt;26&lt;/v&gt;&lt;/c&gt;&lt;c r=&quot;C304&quot; s=&quot;37&quot;&gt;&lt;f&gt;IF(A304&gt;&apos;Property Calculator&apos;!$B$70*12,0,IF(AND(&apos;Property Calculator&apos;!$B$72=1,B304&gt;&apos;Property Calculator&apos;!$B$69),&apos;Property Calculator&apos;!$B$73,&apos;Property Calculator&apos;!$B$65))</f><v>3.5000000000000003E-2</v></c><c r="D304" s="72"><f>IF(A304&gt;&apos;Property Calculator&apos;!$B$70*12,0,I303)</f><v>78604.903401559452</v></c><c r="E304" s="72"><f>IF(OR(A304&gt;&apos;Property Calculator&apos;!$B$70*12,D304&lt;=0),0,IF(AND(&apos;Property Calculator&apos;!$B$72=1,B304&gt;&apos;Property Calculator&apos;!$B$69),MIN(D304*C304/12+&apos;Property Calculator&apos;!$B$74/12,D304*(1+C304/12)),MIN(&apos;Property Calculator&apos;!$B$67,D304*(1+C304/12))))</f><v>1429.9603560928113</v></c><c r="F304" s="72"><f>IF(OR(A304&gt;&apos;Property Calculator&apos;!$B$70*12,D304&lt;=0),0,D304*C304/12)</f><v>229.26430158788176</v></c><c r="G304" s="72"><f>IF(OR(A304&gt;&apos;Property Calculator&apos;!$B$70*12,D304&lt;=0),0,MAX(0,MIN(D304,E304-F304)))</f><v>1200.6960545049294</v></c><c r="H304" s="126"><v>0</v></c><c r="I304" s="72"><f>IF(A304&gt;&apos;Property Calculator&apos;!$B$70*12,0,MAX(0,D304-G304-J304))</f><v>77404.207347054529</v></c><c r="J304" s="72"><f>IF(OR(A304&gt;&apos;Property Calculator&apos;!$B$70*12,D304&lt;=0),0,MIN(H304,MAX(0,D304-G304)))</f><v>0</v></c></row><row r="305" spans="1:10" x14ac:dyDescent="0.25"><c r="A305"><v>302</v></c><c r="B305"><f t="shared" si="4"/>&lt;v&gt;26&lt;/v&gt;&lt;/c&gt;&lt;c r=&quot;C305&quot; s=&quot;37&quot;&gt;&lt;f&gt;IF(A305&gt;&apos;Property Calculator&apos;!$B$70*12,0,IF(AND(&apos;Property Calculator&apos;!$B$72=1,B305&gt;&apos;Property Calculator&apos;!$B$69),&apos;Property Calculator&apos;!$B$73,&apos;Property Calculator&apos;!$B$65))</f><v>3.5000000000000003E-2</v></c><c r="D305" s="72"><f>IF(A305&gt;&apos;Property Calculator&apos;!$B$70*12,0,I304)</f><v>77404.207347054529</v></c><c r="E305" s="72"><f>IF(OR(A305&gt;&apos;Property Calculator&apos;!$B$70*12,D305&lt;=0),0,IF(AND(&apos;Property Calculator&apos;!$B$72=1,B305&gt;&apos;Property Calculator&apos;!$B$69),MIN(D305*C305/12+&apos;Property Calculator&apos;!$B$74/12,D305*(1+C305/12)),MIN(&apos;Property Calculator&apos;!$B$67,D305*(1+C305/12))))</f><v>1429.9603560928113</v></c><c r="F305" s="72"><f>IF(OR(A305&gt;&apos;Property Calculator&apos;!$B$70*12,D305&lt;=0),0,D305*C305/12)</f><v>225.76227142890909</v></c><c r="G305" s="72"><f>IF(OR(A305&gt;&apos;Property Calculator&apos;!$B$70*12,D305&lt;=0),0,MAX(0,MIN(D305,E305-F305)))</f><v>1204.1980846639021</v></c><c r="H305" s="126"><v>0</v></c><c r="I305" s="72"><f>IF(A305&gt;&apos;Property Calculator&apos;!$B$70*12,0,MAX(0,D305-G305-J305))</f><v>76200.009262390624</v></c><c r="J305" s="72"><f>IF(OR(A305&gt;&apos;Property Calculator&apos;!$B$70*12,D305&lt;=0),0,MIN(H305,MAX(0,D305-G305)))</f><v>0</v></c></row><row r="306" spans="1:10" x14ac:dyDescent="0.25"><c r="A306"><v>303</v></c><c r="B306"><f t="shared" si="4"/>&lt;v&gt;26&lt;/v&gt;&lt;/c&gt;&lt;c r=&quot;C306&quot; s=&quot;37&quot;&gt;&lt;f&gt;IF(A306&gt;&apos;Property Calculator&apos;!$B$70*12,0,IF(AND(&apos;Property Calculator&apos;!$B$72=1,B306&gt;&apos;Property Calculator&apos;!$B$69),&apos;Property Calculator&apos;!$B$73,&apos;Property Calculator&apos;!$B$65))</f><v>3.5000000000000003E-2</v></c><c r="D306" s="72"><f>IF(A306&gt;&apos;Property Calculator&apos;!$B$70*12,0,I305)</f><v>76200.009262390624</v></c><c r="E306" s="72"><f>IF(OR(A306&gt;&apos;Property Calculator&apos;!$B$70*12,D306&lt;=0),0,IF(AND(&apos;Property Calculator&apos;!$B$72=1,B306&gt;&apos;Property Calculator&apos;!$B$69),MIN(D306*C306/12+&apos;Property Calculator&apos;!$B$74/12,D306*(1+C306/12)),MIN(&apos;Property Calculator&apos;!$B$67,D306*(1+C306/12))))</f><v>1429.9603560928113</v></c><c r="F306" s="72"><f>IF(OR(A306&gt;&apos;Property Calculator&apos;!$B$70*12,D306&lt;=0),0,D306*C306/12)</f><v>222.25002701530602</v></c><c r="G306" s="72"><f>IF(OR(A306&gt;&apos;Property Calculator&apos;!$B$70*12,D306&lt;=0),0,MAX(0,MIN(D306,E306-F306)))</f><v>1207.7103290775053</v></c><c r="H306" s="126"><v>0</v></c><c r="I306" s="72"><f>IF(A306&gt;&apos;Property Calculator&apos;!$B$70*12,0,MAX(0,D306-G306-J306))</f><v>74992.298933313112</v></c><c r="J306" s="72"><f>IF(OR(A306&gt;&apos;Property Calculator&apos;!$B$70*12,D306&lt;=0),0,MIN(H306,MAX(0,D306-G306)))</f><v>0</v></c></row><row r="307" spans="1:10" x14ac:dyDescent="0.25"><c r="A307"><v>304</v></c><c r="B307"><f t="shared" si="4"/>&lt;v&gt;26&lt;/v&gt;&lt;/c&gt;&lt;c r=&quot;C307&quot; s=&quot;37&quot;&gt;&lt;f&gt;IF(A307&gt;&apos;Property Calculator&apos;!$B$70*12,0,IF(AND(&apos;Property Calculator&apos;!$B$72=1,B307&gt;&apos;Property Calculator&apos;!$B$69),&apos;Property Calculator&apos;!$B$73,&apos;Property Calculator&apos;!$B$65))</f><v>3.5000000000000003E-2</v></c><c r="D307" s="72"><f>IF(A307&gt;&apos;Property Calculator&apos;!$B$70*12,0,I306)</f><v>74992.298933313112</v></c><c r="E307" s="72"><f>IF(OR(A307&gt;&apos;Property Calculator&apos;!$B$70*12,D307&lt;=0),0,IF(AND(&apos;Property Calculator&apos;!$B$72=1,B307&gt;&apos;Property Calculator&apos;!$B$69),MIN(D307*C307/12+&apos;Property Calculator&apos;!$B$74/12,D307*(1+C307/12)),MIN(&apos;Property Calculator&apos;!$B$67,D307*(1+C307/12))))</f><v>1429.9603560928113</v></c><c r="F307" s="72"><f>IF(OR(A307&gt;&apos;Property Calculator&apos;!$B$70*12,D307&lt;=0),0,D307*C307/12)</f><v>218.72753855549661</v></c><c r="G307" s="72"><f>IF(OR(A307&gt;&apos;Property Calculator&apos;!$B$70*12,D307&lt;=0),0,MAX(0,MIN(D307,E307-F307)))</f><v>1211.2328175373145</v></c><c r="H307" s="126"><v>0</v></c><c r="I307" s="72"><f>IF(A307&gt;&apos;Property Calculator&apos;!$B$70*12,0,MAX(0,D307-G307-J307))</f><v>73781.0661157758</v></c><c r="J307" s="72"><f>IF(OR(A307&gt;&apos;Property Calculator&apos;!$B$70*12,D307&lt;=0),0,MIN(H307,MAX(0,D307-G307)))</f><v>0</v></c></row><row r="308" spans="1:10" x14ac:dyDescent="0.25"><c r="A308"><v>305</v></c><c r="B308"><f t="shared" si="4"/>&lt;v&gt;26&lt;/v&gt;&lt;/c&gt;&lt;c r=&quot;C308&quot; s=&quot;37&quot;&gt;&lt;f&gt;IF(A308&gt;&apos;Property Calculator&apos;!$B$70*12,0,IF(AND(&apos;Property Calculator&apos;!$B$72=1,B308&gt;&apos;Property Calculator&apos;!$B$69),&apos;Property Calculator&apos;!$B$73,&apos;Property Calculator&apos;!$B$65))</f><v>3.5000000000000003E-2</v></c><c r="D308" s="72"><f>IF(A308&gt;&apos;Property Calculator&apos;!$B$70*12,0,I307)</f><v>73781.0661157758</v></c><c r="E308" s="72"><f>IF(OR(A308&gt;&apos;Property Calculator&apos;!$B$70*12,D308&lt;=0),0,IF(AND(&apos;Property Calculator&apos;!$B$72=1,B308&gt;&apos;Property Calculator&apos;!$B$69),MIN(D308*C308/12+&apos;Property Calculator&apos;!$B$74/12,D308*(1+C308/12)),MIN(&apos;Property Calculator&apos;!$B$67,D308*(1+C308/12))))</f><v>1429.9603560928113</v></c><c r="F308" s="72"><f>IF(OR(A308&gt;&apos;Property Calculator&apos;!$B$70*12,D308&lt;=0),0,D308*C308/12)</f><v>215.19477617101279</v></c><c r="G308" s="72"><f>IF(OR(A308&gt;&apos;Property Calculator&apos;!$B$70*12,D308&lt;=0),0,MAX(0,MIN(D308,E308-F308)))</f><v>1214.7655799217985</v></c><c r="H308" s="126"><v>0</v></c><c r="I308" s="72"><f>IF(A308&gt;&apos;Property Calculator&apos;!$B$70*12,0,MAX(0,D308-G308-J308))</f><v>72566.300535853996</v></c><c r="J308" s="72"><f>IF(OR(A308&gt;&apos;Property Calculator&apos;!$B$70*12,D308&lt;=0),0,MIN(H308,MAX(0,D308-G308)))</f><v>0</v></c></row><row r="309" spans="1:10" x14ac:dyDescent="0.25"><c r="A309"><v>306</v></c><c r="B309"><f t="shared" si="4"/>&lt;v&gt;26&lt;/v&gt;&lt;/c&gt;&lt;c r=&quot;C309&quot; s=&quot;37&quot;&gt;&lt;f&gt;IF(A309&gt;&apos;Property Calculator&apos;!$B$70*12,0,IF(AND(&apos;Property Calculator&apos;!$B$72=1,B309&gt;&apos;Property Calculator&apos;!$B$69),&apos;Property Calculator&apos;!$B$73,&apos;Property Calculator&apos;!$B$65))</f><v>3.5000000000000003E-2</v></c><c r="D309" s="72"><f>IF(A309&gt;&apos;Property Calculator&apos;!$B$70*12,0,I308)</f><v>72566.300535853996</v></c><c r="E309" s="72"><f>IF(OR(A309&gt;&apos;Property Calculator&apos;!$B$70*12,D309&lt;=0),0,IF(AND(&apos;Property Calculator&apos;!$B$72=1,B309&gt;&apos;Property Calculator&apos;!$B$69),MIN(D309*C309/12+&apos;Property Calculator&apos;!$B$74/12,D309*(1+C309/12)),MIN(&apos;Property Calculator&apos;!$B$67,D309*(1+C309/12))))</f><v>1429.9603560928113</v></c><c r="F309" s="72"><f>IF(OR(A309&gt;&apos;Property Calculator&apos;!$B$70*12,D309&lt;=0),0,D309*C309/12)</f><v>211.65170989624085</v></c><c r="G309" s="72"><f>IF(OR(A309&gt;&apos;Property Calculator&apos;!$B$70*12,D309&lt;=0),0,MAX(0,MIN(D309,E309-F309)))</f><v>1218.3086461965704</v></c><c r="H309" s="126"><v>0</v></c><c r="I309" s="72"><f>IF(A309&gt;&apos;Property Calculator&apos;!$B$70*12,0,MAX(0,D309-G309-J309))</f><v>71347.991889657424</v></c><c r="J309" s="72"><f>IF(OR(A309&gt;&apos;Property Calculator&apos;!$B$70*12,D309&lt;=0),0,MIN(H309,MAX(0,D309-G309)))</f><v>0</v></c></row><row r="310" spans="1:10" x14ac:dyDescent="0.25"><c r="A310"><v>307</v></c><c r="B310"><f t="shared" si="4"/>&lt;v&gt;26&lt;/v&gt;&lt;/c&gt;&lt;c r=&quot;C310&quot; s=&quot;37&quot;&gt;&lt;f&gt;IF(A310&gt;&apos;Property Calculator&apos;!$B$70*12,0,IF(AND(&apos;Property Calculator&apos;!$B$72=1,B310&gt;&apos;Property Calculator&apos;!$B$69),&apos;Property Calculator&apos;!$B$73,&apos;Property Calculator&apos;!$B$65))</f><v>3.5000000000000003E-2</v></c><c r="D310" s="72"><f>IF(A310&gt;&apos;Property Calculator&apos;!$B$70*12,0,I309)</f><v>71347.991889657424</v></c><c r="E310" s="72"><f>IF(OR(A310&gt;&apos;Property Calculator&apos;!$B$70*12,D310&lt;=0),0,IF(AND(&apos;Property Calculator&apos;!$B$72=1,B310&gt;&apos;Property Calculator&apos;!$B$69),MIN(D310*C310/12+&apos;Property Calculator&apos;!$B$74/12,D310*(1+C310/12)),MIN(&apos;Property Calculator&apos;!$B$67,D310*(1+C310/12))))</f><v>1429.9603560928113</v></c><c r="F310" s="72"><f>IF(OR(A310&gt;&apos;Property Calculator&apos;!$B$70*12,D310&lt;=0),0,D310*C310/12)</f><v>208.09830967816751</v></c><c r="G310" s="72"><f>IF(OR(A310&gt;&apos;Property Calculator&apos;!$B$70*12,D310&lt;=0),0,MAX(0,MIN(D310,E310-F310)))</f><v>1221.8620464146438</v></c><c r="H310" s="126"><v>0</v></c><c r="I310" s="72"><f>IF(A310&gt;&apos;Property Calculator&apos;!$B$70*12,0,MAX(0,D310-G310-J310))</f><v>70126.129843242787</v></c><c r="J310" s="72"><f>IF(OR(A310&gt;&apos;Property Calculator&apos;!$B$70*12,D310&lt;=0),0,MIN(H310,MAX(0,D310-G310)))</f><v>0</v></c></row><row r="311" spans="1:10" x14ac:dyDescent="0.25"><c r="A311"><v>308</v></c><c r="B311"><f t="shared" si="4"/>&lt;v&gt;26&lt;/v&gt;&lt;/c&gt;&lt;c r=&quot;C311&quot; s=&quot;37&quot;&gt;&lt;f&gt;IF(A311&gt;&apos;Property Calculator&apos;!$B$70*12,0,IF(AND(&apos;Property Calculator&apos;!$B$72=1,B311&gt;&apos;Property Calculator&apos;!$B$69),&apos;Property Calculator&apos;!$B$73,&apos;Property Calculator&apos;!$B$65))</f><v>3.5000000000000003E-2</v></c><c r="D311" s="72"><f>IF(A311&gt;&apos;Property Calculator&apos;!$B$70*12,0,I310)</f><v>70126.129843242787</v></c><c r="E311" s="72"><f>IF(OR(A311&gt;&apos;Property Calculator&apos;!$B$70*12,D311&lt;=0),0,IF(AND(&apos;Property Calculator&apos;!$B$72=1,B311&gt;&apos;Property Calculator&apos;!$B$69),MIN(D311*C311/12+&apos;Property Calculator&apos;!$B$74/12,D311*(1+C311/12)),MIN(&apos;Property Calculator&apos;!$B$67,D311*(1+C311/12))))</f><v>1429.9603560928113</v></c><c r="F311" s="72"><f>IF(OR(A311&gt;&apos;Property Calculator&apos;!$B$70*12,D311&lt;=0),0,D311*C311/12)</f><v>204.53454537612481</v></c><c r="G311" s="72"><f>IF(OR(A311&gt;&apos;Property Calculator&apos;!$B$70*12,D311&lt;=0),0,MAX(0,MIN(D311,E311-F311)))</f><v>1225.4258107166866</v></c><c r="H311" s="126"><v>0</v></c><c r="I311" s="72"><f>IF(A311&gt;&apos;Property Calculator&apos;!$B$70*12,0,MAX(0,D311-G311-J311))</f><v>68900.704032526104</v></c><c r="J311" s="72"><f>IF(OR(A311&gt;&apos;Property Calculator&apos;!$B$70*12,D311&lt;=0),0,MIN(H311,MAX(0,D311-G311)))</f><v>0</v></c></row><row r="312" spans="1:10" x14ac:dyDescent="0.25"><c r="A312"><v>309</v></c><c r="B312"><f t="shared" si="4"/>&lt;v&gt;26&lt;/v&gt;&lt;/c&gt;&lt;c r=&quot;C312&quot; s=&quot;37&quot;&gt;&lt;f&gt;IF(A312&gt;&apos;Property Calculator&apos;!$B$70*12,0,IF(AND(&apos;Property Calculator&apos;!$B$72=1,B312&gt;&apos;Property Calculator&apos;!$B$69),&apos;Property Calculator&apos;!$B$73,&apos;Property Calculator&apos;!$B$65))</f><v>3.5000000000000003E-2</v></c><c r="D312" s="72"><f>IF(A312&gt;&apos;Property Calculator&apos;!$B$70*12,0,I311)</f><v>68900.704032526104</v></c><c r="E312" s="72"><f>IF(OR(A312&gt;&apos;Property Calculator&apos;!$B$70*12,D312&lt;=0),0,IF(AND(&apos;Property Calculator&apos;!$B$72=1,B312&gt;&apos;Property Calculator&apos;!$B$69),MIN(D312*C312/12+&apos;Property Calculator&apos;!$B$74/12,D312*(1+C312/12)),MIN(&apos;Property Calculator&apos;!$B$67,D312*(1+C312/12))))</f><v>1429.9603560928113</v></c><c r="F312" s="72"><f>IF(OR(A312&gt;&apos;Property Calculator&apos;!$B$70*12,D312&lt;=0),0,D312*C312/12)</f><v>200.96038676153447</v></c><c r="G312" s="72"><f>IF(OR(A312&gt;&apos;Property Calculator&apos;!$B$70*12,D312&lt;=0),0,MAX(0,MIN(D312,E312-F312)))</f><v>1228.9999693312768</v></c><c r="H312" s="126"><v>0</v></c><c r="I312" s="72"><f>IF(A312&gt;&apos;Property Calculator&apos;!$B$70*12,0,MAX(0,D312-G312-J312))</f><v>67671.704063194833</v></c><c r="J312" s="72"><f>IF(OR(A312&gt;&apos;Property Calculator&apos;!$B$70*12,D312&lt;=0),0,MIN(H312,MAX(0,D312-G312)))</f><v>0</v></c></row><row r="313" spans="1:10" x14ac:dyDescent="0.25"><c r="A313"><v>310</v></c><c r="B313"><f t="shared" si="4"/>&lt;v&gt;26&lt;/v&gt;&lt;/c&gt;&lt;c r=&quot;C313&quot; s=&quot;37&quot;&gt;&lt;f&gt;IF(A313&gt;&apos;Property Calculator&apos;!$B$70*12,0,IF(AND(&apos;Property Calculator&apos;!$B$72=1,B313&gt;&apos;Property Calculator&apos;!$B$69),&apos;Property Calculator&apos;!$B$73,&apos;Property Calculator&apos;!$B$65))</f><v>3.5000000000000003E-2</v></c><c r="D313" s="72"><f>IF(A313&gt;&apos;Property Calculator&apos;!$B$70*12,0,I312)</f><v>67671.704063194833</v></c><c r="E313" s="72"><f>IF(OR(A313&gt;&apos;Property Calculator&apos;!$B$70*12,D313&lt;=0),0,IF(AND(&apos;Property Calculator&apos;!$B$72=1,B313&gt;&apos;Property Calculator&apos;!$B$69),MIN(D313*C313/12+&apos;Property Calculator&apos;!$B$74/12,D313*(1+C313/12)),MIN(&apos;Property Calculator&apos;!$B$67,D313*(1+C313/12))))</f><v>1429.9603560928113</v></c><c r="F313" s="72"><f>IF(OR(A313&gt;&apos;Property Calculator&apos;!$B$70*12,D313&lt;=0),0,D313*C313/12)</f><v>197.37580351765163</v></c><c r="G313" s="72"><f>IF(OR(A313&gt;&apos;Property Calculator&apos;!$B$70*12,D313&lt;=0),0,MAX(0,MIN(D313,E313-F313)))</f><v>1232.5845525751597</v></c><c r="H313" s="126"><v>0</v></c><c r="I313" s="72"><f>IF(A313&gt;&apos;Property Calculator&apos;!$B$70*12,0,MAX(0,D313-G313-J313))</f><v>66439.119510619668</v></c><c r="J313" s="72"><f>IF(OR(A313&gt;&apos;Property Calculator&apos;!$B$70*12,D313&lt;=0),0,MIN(H313,MAX(0,D313-G313)))</f><v>0</v></c></row><row r="314" spans="1:10" x14ac:dyDescent="0.25"><c r="A314"><v>311</v></c><c r="B314"><f t="shared" si="4"/>&lt;v&gt;26&lt;/v&gt;&lt;/c&gt;&lt;c r=&quot;C314&quot; s=&quot;37&quot;&gt;&lt;f&gt;IF(A314&gt;&apos;Property Calculator&apos;!$B$70*12,0,IF(AND(&apos;Property Calculator&apos;!$B$72=1,B314&gt;&apos;Property Calculator&apos;!$B$69),&apos;Property Calculator&apos;!$B$73,&apos;Property Calculator&apos;!$B$65))</f><v>3.5000000000000003E-2</v></c><c r="D314" s="72"><f>IF(A314&gt;&apos;Property Calculator&apos;!$B$70*12,0,I313)</f><v>66439.119510619668</v></c><c r="E314" s="72"><f>IF(OR(A314&gt;&apos;Property Calculator&apos;!$B$70*12,D314&lt;=0),0,IF(AND(&apos;Property Calculator&apos;!$B$72=1,B314&gt;&apos;Property Calculator&apos;!$B$69),MIN(D314*C314/12+&apos;Property Calculator&apos;!$B$74/12,D314*(1+C314/12)),MIN(&apos;Property Calculator&apos;!$B$67,D314*(1+C314/12))))</f><v>1429.9603560928113</v></c><c r="F314" s="72"><f>IF(OR(A314&gt;&apos;Property Calculator&apos;!$B$70*12,D314&lt;=0),0,D314*C314/12)</f><v>193.78076523930739</v></c><c r="G314" s="72"><f>IF(OR(A314&gt;&apos;Property Calculator&apos;!$B$70*12,D314&lt;=0),0,MAX(0,MIN(D314,E314-F314)))</f><v>1236.1795908535039</v></c><c r="H314" s="126"><v>0</v></c><c r="I314" s="72"><f>IF(A314&gt;&apos;Property Calculator&apos;!$B$70*12,0,MAX(0,D314-G314-J314))</f><v>65202.939919766162</v></c><c r="J314" s="72"><f>IF(OR(A314&gt;&apos;Property Calculator&apos;!$B$70*12,D314&lt;=0),0,MIN(H314,MAX(0,D314-G314)))</f><v>0</v></c></row><row r="315" spans="1:10" x14ac:dyDescent="0.25"><c r="A315"><v>312</v></c><c r="B315"><f t="shared" si="4"/>&lt;v&gt;26&lt;/v&gt;&lt;/c&gt;&lt;c r=&quot;C315&quot; s=&quot;37&quot;&gt;&lt;f&gt;IF(A315&gt;&apos;Property Calculator&apos;!$B$70*12,0,IF(AND(&apos;Property Calculator&apos;!$B$72=1,B315&gt;&apos;Property Calculator&apos;!$B$69),&apos;Property Calculator&apos;!$B$73,&apos;Property Calculator&apos;!$B$65))</f><v>3.5000000000000003E-2</v></c><c r="D315" s="72"><f>IF(A315&gt;&apos;Property Calculator&apos;!$B$70*12,0,I314)</f><v>65202.939919766162</v></c><c r="E315" s="72"><f>IF(OR(A315&gt;&apos;Property Calculator&apos;!$B$70*12,D315&lt;=0),0,IF(AND(&apos;Property Calculator&apos;!$B$72=1,B315&gt;&apos;Property Calculator&apos;!$B$69),MIN(D315*C315/12+&apos;Property Calculator&apos;!$B$74/12,D315*(1+C315/12)),MIN(&apos;Property Calculator&apos;!$B$67,D315*(1+C315/12))))</f><v>1429.9603560928113</v></c><c r="F315" s="72"><f>IF(OR(A315&gt;&apos;Property Calculator&apos;!$B$70*12,D315&lt;=0),0,D315*C315/12)</f><v>190.17524143265132</v></c><c r="G315" s="72"><f>IF(OR(A315&gt;&apos;Property Calculator&apos;!$B$70*12,D315&lt;=0),0,MAX(0,MIN(D315,E315-F315)))</f><v>1239.7851146601599</v></c><c r="H315" s="126"><v>0</v></c><c r="I315" s="72"><f>IF(A315&gt;&apos;Property Calculator&apos;!$B$70*12,0,MAX(0,D315-G315-J315))</f><v>63963.154805106002</v></c><c r="J315" s="72"><f>IF(OR(A315&gt;&apos;Property Calculator&apos;!$B$70*12,D315&lt;=0),0,MIN(H315,MAX(0,D315-G315)))</f><v>0</v></c></row><row r="316" spans="1:10" x14ac:dyDescent="0.25"><c r="A316"><v>313</v></c><c r="B316"><f t="shared" si="4"/>&lt;v&gt;27&lt;/v&gt;&lt;/c&gt;&lt;c r=&quot;C316&quot; s=&quot;37&quot;&gt;&lt;f&gt;IF(A316&gt;&apos;Property Calculator&apos;!$B$70*12,0,IF(AND(&apos;Property Calculator&apos;!$B$72=1,B316&gt;&apos;Property Calculator&apos;!$B$69),&apos;Property Calculator&apos;!$B$73,&apos;Property Calculator&apos;!$B$65))</f><v>3.5000000000000003E-2</v></c><c r="D316" s="72"><f>IF(A316&gt;&apos;Property Calculator&apos;!$B$70*12,0,I315)</f><v>63963.154805106002</v></c><c r="E316" s="72"><f>IF(OR(A316&gt;&apos;Property Calculator&apos;!$B$70*12,D316&lt;=0),0,IF(AND(&apos;Property Calculator&apos;!$B$72=1,B316&gt;&apos;Property Calculator&apos;!$B$69),MIN(D316*C316/12+&apos;Property Calculator&apos;!$B$74/12,D316*(1+C316/12)),MIN(&apos;Property Calculator&apos;!$B$67,D316*(1+C316/12))))</f><v>1429.9603560928113</v></c><c r="F316" s="72"><f>IF(OR(A316&gt;&apos;Property Calculator&apos;!$B$70*12,D316&lt;=0),0,D316*C316/12)</f><v>186.55920151489252</v></c><c r="G316" s="72"><f>IF(OR(A316&gt;&apos;Property Calculator&apos;!$B$70*12,D316&lt;=0),0,MAX(0,MIN(D316,E316-F316)))</f><v>1243.4011545779188</v></c><c r="H316" s="126"><v>0</v></c><c r="I316" s="72"><f>IF(A316&gt;&apos;Property Calculator&apos;!$B$70*12,0,MAX(0,D316-G316-J316))</f><v>62719.75365052808</v></c><c r="J316" s="72"><f>IF(OR(A316&gt;&apos;Property Calculator&apos;!$B$70*12,D316&lt;=0),0,MIN(H316,MAX(0,D316-G316)))</f><v>0</v></c></row><row r="317" spans="1:10" x14ac:dyDescent="0.25"><c r="A317"><v>314</v></c><c r="B317"><f t="shared" si="4"/>&lt;v&gt;27&lt;/v&gt;&lt;/c&gt;&lt;c r=&quot;C317&quot; s=&quot;37&quot;&gt;&lt;f&gt;IF(A317&gt;&apos;Property Calculator&apos;!$B$70*12,0,IF(AND(&apos;Property Calculator&apos;!$B$72=1,B317&gt;&apos;Property Calculator&apos;!$B$69),&apos;Property Calculator&apos;!$B$73,&apos;Property Calculator&apos;!$B$65))</f><v>3.5000000000000003E-2</v></c><c r="D317" s="72"><f>IF(A317&gt;&apos;Property Calculator&apos;!$B$70*12,0,I316)</f><v>62719.75365052808</v></c><c r="E317" s="72"><f>IF(OR(A317&gt;&apos;Property Calculator&apos;!$B$70*12,D317&lt;=0),0,IF(AND(&apos;Property Calculator&apos;!$B$72=1,B317&gt;&apos;Property Calculator&apos;!$B$69),MIN(D317*C317/12+&apos;Property Calculator&apos;!$B$74/12,D317*(1+C317/12)),MIN(&apos;Property Calculator&apos;!$B$67,D317*(1+C317/12))))</f><v>1429.9603560928113</v></c><c r="F317" s="72"><f>IF(OR(A317&gt;&apos;Property Calculator&apos;!$B$70*12,D317&lt;=0),0,D317*C317/12)</f><v>182.93261481404025</v></c><c r="G317" s="72"><f>IF(OR(A317&gt;&apos;Property Calculator&apos;!$B$70*12,D317&lt;=0),0,MAX(0,MIN(D317,E317-F317)))</f><v>1247.0277412787709</v></c><c r="H317" s="126"><v>0</v></c><c r="I317" s="72"><f>IF(A317&gt;&apos;Property Calculator&apos;!$B$70*12,0,MAX(0,D317-G317-J317))</f><v>61472.725909249311</v></c><c r="J317" s="72"><f>IF(OR(A317&gt;&apos;Property Calculator&apos;!$B$70*12,D317&lt;=0),0,MIN(H317,MAX(0,D317-G317)))</f><v>0</v></c></row><row r="318" spans="1:10" x14ac:dyDescent="0.25"><c r="A318"><v>315</v></c><c r="B318"><f t="shared" si="4"/>&lt;v&gt;27&lt;/v&gt;&lt;/c&gt;&lt;c r=&quot;C318&quot; s=&quot;37&quot;&gt;&lt;f&gt;IF(A318&gt;&apos;Property Calculator&apos;!$B$70*12,0,IF(AND(&apos;Property Calculator&apos;!$B$72=1,B318&gt;&apos;Property Calculator&apos;!$B$69),&apos;Property Calculator&apos;!$B$73,&apos;Property Calculator&apos;!$B$65))</f><v>3.5000000000000003E-2</v></c><c r="D318" s="72"><f>IF(A318&gt;&apos;Property Calculator&apos;!$B$70*12,0,I317)</f><v>61472.725909249311</v></c><c r="E318" s="72"><f>IF(OR(A318&gt;&apos;Property Calculator&apos;!$B$70*12,D318&lt;=0),0,IF(AND(&apos;Property Calculator&apos;!$B$72=1,B318&gt;&apos;Property Calculator&apos;!$B$69),MIN(D318*C318/12+&apos;Property Calculator&apos;!$B$74/12,D318*(1+C318/12)),MIN(&apos;Property Calculator&apos;!$B$67,D318*(1+C318/12))))</f><v>1429.9603560928113</v></c><c r="F318" s="72"><f>IF(OR(A318&gt;&apos;Property Calculator&apos;!$B$70*12,D318&lt;=0),0,D318*C318/12)</f><v>179.29545056864382</v></c><c r="G318" s="72"><f>IF(OR(A318&gt;&apos;Property Calculator&apos;!$B$70*12,D318&lt;=0),0,MAX(0,MIN(D318,E318-F318)))</f><v>1250.6649055241674</v></c><c r="H318" s="126"><v>0</v></c><c r="I318" s="72"><f>IF(A318&gt;&apos;Property Calculator&apos;!$B$70*12,0,MAX(0,D318-G318-J318))</f><v>60222.061003725146</v></c><c r="J318" s="72"><f>IF(OR(A318&gt;&apos;Property Calculator&apos;!$B$70*12,D318&lt;=0),0,MIN(H318,MAX(0,D318-G318)))</f><v>0</v></c></row><row r="319" spans="1:10" x14ac:dyDescent="0.25"><c r="A319"><v>316</v></c><c r="B319"><f t="shared" si="4"/>&lt;v&gt;27&lt;/v&gt;&lt;/c&gt;&lt;c r=&quot;C319&quot; s=&quot;37&quot;&gt;&lt;f&gt;IF(A319&gt;&apos;Property Calculator&apos;!$B$70*12,0,IF(AND(&apos;Property Calculator&apos;!$B$72=1,B319&gt;&apos;Property Calculator&apos;!$B$69),&apos;Property Calculator&apos;!$B$73,&apos;Property Calculator&apos;!$B$65))</f><v>3.5000000000000003E-2</v></c><c r="D319" s="72"><f>IF(A319&gt;&apos;Property Calculator&apos;!$B$70*12,0,I318)</f><v>60222.061003725146</v></c><c r="E319" s="72"><f>IF(OR(A319&gt;&apos;Property Calculator&apos;!$B$70*12,D319&lt;=0),0,IF(AND(&apos;Property Calculator&apos;!$B$72=1,B319&gt;&apos;Property Calculator&apos;!$B$69),MIN(D319*C319/12+&apos;Property Calculator&apos;!$B$74/12,D319*(1+C319/12)),MIN(&apos;Property Calculator&apos;!$B$67,D319*(1+C319/12))))</f><v>1429.9603560928113</v></c><c r="F319" s="72"><f>IF(OR(A319&gt;&apos;Property Calculator&apos;!$B$70*12,D319&lt;=0),0,D319*C319/12)</f><v>175.6476779275317</v></c><c r="G319" s="72"><f>IF(OR(A319&gt;&apos;Property Calculator&apos;!$B$70*12,D319&lt;=0),0,MAX(0,MIN(D319,E319-F319)))</f><v>1254.3126781652795</v></c><c r="H319" s="126"><v>0</v></c><c r="I319" s="72"><f>IF(A319&gt;&apos;Property Calculator&apos;!$B$70*12,0,MAX(0,D319-G319-J319))</f><v>58967.748325559864</v></c><c r="J319" s="72"><f>IF(OR(A319&gt;&apos;Property Calculator&apos;!$B$70*12,D319&lt;=0),0,MIN(H319,MAX(0,D319-G319)))</f><v>0</v></c></row><row r="320" spans="1:10" x14ac:dyDescent="0.25"><c r="A320"><v>317</v></c><c r="B320"><f t="shared" si="4"/>&lt;v&gt;27&lt;/v&gt;&lt;/c&gt;&lt;c r=&quot;C320&quot; s=&quot;37&quot;&gt;&lt;f&gt;IF(A320&gt;&apos;Property Calculator&apos;!$B$70*12,0,IF(AND(&apos;Property Calculator&apos;!$B$72=1,B320&gt;&apos;Property Calculator&apos;!$B$69),&apos;Property Calculator&apos;!$B$73,&apos;Property Calculator&apos;!$B$65))</f><v>3.5000000000000003E-2</v></c><c r="D320" s="72"><f>IF(A320&gt;&apos;Property Calculator&apos;!$B$70*12,0,I319)</f><v>58967.748325559864</v></c><c r="E320" s="72"><f>IF(OR(A320&gt;&apos;Property Calculator&apos;!$B$70*12,D320&lt;=0),0,IF(AND(&apos;Property Calculator&apos;!$B$72=1,B320&gt;&apos;Property Calculator&apos;!$B$69),MIN(D320*C320/12+&apos;Property Calculator&apos;!$B$74/12,D320*(1+C320/12)),MIN(&apos;Property Calculator&apos;!$B$67,D320*(1+C320/12))))</f><v>1429.9603560928113</v></c><c r="F320" s="72"><f>IF(OR(A320&gt;&apos;Property Calculator&apos;!$B$70*12,D320&lt;=0),0,D320*C320/12)</f><v>171.9892659495496</v></c><c r="G320" s="72"><f>IF(OR(A320&gt;&apos;Property Calculator&apos;!$B$70*12,D320&lt;=0),0,MAX(0,MIN(D320,E320-F320)))</f><v>1257.9710901432616</v></c><c r="H320" s="126"><v>0</v></c><c r="I320" s="72"><f>IF(A320&gt;&apos;Property Calculator&apos;!$B$70*12,0,MAX(0,D320-G320-J320))</f><v>57709.777235416601</v></c><c r="J320" s="72"><f>IF(OR(A320&gt;&apos;Property Calculator&apos;!$B$70*12,D320&lt;=0),0,MIN(H320,MAX(0,D320-G320)))</f><v>0</v></c></row><row r="321" spans="1:10" x14ac:dyDescent="0.25"><c r="A321"><v>318</v></c><c r="B321"><f t="shared" si="4"/>&lt;v&gt;27&lt;/v&gt;&lt;/c&gt;&lt;c r=&quot;C321&quot; s=&quot;37&quot;&gt;&lt;f&gt;IF(A321&gt;&apos;Property Calculator&apos;!$B$70*12,0,IF(AND(&apos;Property Calculator&apos;!$B$72=1,B321&gt;&apos;Property Calculator&apos;!$B$69),&apos;Property Calculator&apos;!$B$73,&apos;Property Calculator&apos;!$B$65))</f><v>3.5000000000000003E-2</v></c><c r="D321" s="72"><f>IF(A321&gt;&apos;Property Calculator&apos;!$B$70*12,0,I320)</f><v>57709.777235416601</v></c><c r="E321" s="72"><f>IF(OR(A321&gt;&apos;Property Calculator&apos;!$B$70*12,D321&lt;=0),0,IF(AND(&apos;Property Calculator&apos;!$B$72=1,B321&gt;&apos;Property Calculator&apos;!$B$69),MIN(D321*C321/12+&apos;Property Calculator&apos;!$B$74/12,D321*(1+C321/12)),MIN(&apos;Property Calculator&apos;!$B$67,D321*(1+C321/12))))</f><v>1429.9603560928113</v></c><c r="F321" s="72"><f>IF(OR(A321&gt;&apos;Property Calculator&apos;!$B$70*12,D321&lt;=0),0,D321*C321/12)</f><v>168.32018360329843</v></c><c r="G321" s="72"><f>IF(OR(A321&gt;&apos;Property Calculator&apos;!$B$70*12,D321&lt;=0),0,MAX(0,MIN(D321,E321-F321)))</f><v>1261.6401724895129</v></c><c r="H321" s="126"><v>0</v></c><c r="I321" s="72"><f>IF(A321&gt;&apos;Property Calculator&apos;!$B$70*12,0,MAX(0,D321-G321-J321))</f><v>56448.13706292709</v></c><c r="J321" s="72"><f>IF(OR(A321&gt;&apos;Property Calculator&apos;!$B$70*12,D321&lt;=0),0,MIN(H321,MAX(0,D321-G321)))</f><v>0</v></c></row><row r="322" spans="1:10" x14ac:dyDescent="0.25"><c r="A322"><v>319</v></c><c r="B322"><f t="shared" si="4"/>&lt;v&gt;27&lt;/v&gt;&lt;/c&gt;&lt;c r=&quot;C322&quot; s=&quot;37&quot;&gt;&lt;f&gt;IF(A322&gt;&apos;Property Calculator&apos;!$B$70*12,0,IF(AND(&apos;Property Calculator&apos;!$B$72=1,B322&gt;&apos;Property Calculator&apos;!$B$69),&apos;Property Calculator&apos;!$B$73,&apos;Property Calculator&apos;!$B$65))</f><v>3.5000000000000003E-2</v></c><c r="D322" s="72"><f>IF(A322&gt;&apos;Property Calculator&apos;!$B$70*12,0,I321)</f><v>56448.13706292709</v></c><c r="E322" s="72"><f>IF(OR(A322&gt;&apos;Property Calculator&apos;!$B$70*12,D322&lt;=0),0,IF(AND(&apos;Property Calculator&apos;!$B$72=1,B322&gt;&apos;Property Calculator&apos;!$B$69),MIN(D322*C322/12+&apos;Property Calculator&apos;!$B$74/12,D322*(1+C322/12)),MIN(&apos;Property Calculator&apos;!$B$67,D322*(1+C322/12))))</f><v>1429.9603560928113</v></c><c r="F322" s="72"><f>IF(OR(A322&gt;&apos;Property Calculator&apos;!$B$70*12,D322&lt;=0),0,D322*C322/12)</f><v>164.6403997668707</v></c><c r="G322" s="72"><f>IF(OR(A322&gt;&apos;Property Calculator&apos;!$B$70*12,D322&lt;=0),0,MAX(0,MIN(D322,E322-F322)))</f><v>1265.3199563259404</v></c><c r="H322" s="126"><v>0</v></c><c r="I322" s="72"><f>IF(A322&gt;&apos;Property Calculator&apos;!$B$70*12,0,MAX(0,D322-G322-J322))</f><v>55182.817106601149</v></c><c r="J322" s="72"><f>IF(OR(A322&gt;&apos;Property Calculator&apos;!$B$70*12,D322&lt;=0),0,MIN(H322,MAX(0,D322-G322)))</f><v>0</v></c></row><row r="323" spans="1:10" x14ac:dyDescent="0.25"><c r="A323"><v>320</v></c><c r="B323"><f t="shared" si="4"/>&lt;v&gt;27&lt;/v&gt;&lt;/c&gt;&lt;c r=&quot;C323&quot; s=&quot;37&quot;&gt;&lt;f&gt;IF(A323&gt;&apos;Property Calculator&apos;!$B$70*12,0,IF(AND(&apos;Property Calculator&apos;!$B$72=1,B323&gt;&apos;Property Calculator&apos;!$B$69),&apos;Property Calculator&apos;!$B$73,&apos;Property Calculator&apos;!$B$65))</f><v>3.5000000000000003E-2</v></c><c r="D323" s="72"><f>IF(A323&gt;&apos;Property Calculator&apos;!$B$70*12,0,I322)</f><v>55182.817106601149</v></c><c r="E323" s="72"><f>IF(OR(A323&gt;&apos;Property Calculator&apos;!$B$70*12,D323&lt;=0),0,IF(AND(&apos;Property Calculator&apos;!$B$72=1,B323&gt;&apos;Property Calculator&apos;!$B$69),MIN(D323*C323/12+&apos;Property Calculator&apos;!$B$74/12,D323*(1+C323/12)),MIN(&apos;Property Calculator&apos;!$B$67,D323*(1+C323/12))))</f><v>1429.9603560928113</v></c><c r="F323" s="72"><f>IF(OR(A323&gt;&apos;Property Calculator&apos;!$B$70*12,D323&lt;=0),0,D323*C323/12)</f><v>160.9498832275867</v></c><c r="G323" s="72"><f>IF(OR(A323&gt;&apos;Property Calculator&apos;!$B$70*12,D323&lt;=0),0,MAX(0,MIN(D323,E323-F323)))</f><v>1269.0104728652245</v></c><c r="H323" s="126"><v>0</v></c><c r="I323" s="72"><f>IF(A323&gt;&apos;Property Calculator&apos;!$B$70*12,0,MAX(0,D323-G323-J323))</f><v>53913.806633735927</v></c><c r="J323" s="72"><f>IF(OR(A323&gt;&apos;Property Calculator&apos;!$B$70*12,D323&lt;=0),0,MIN(H323,MAX(0,D323-G323)))</f><v>0</v></c></row><row r="324" spans="1:10" x14ac:dyDescent="0.25"><c r="A324"><v>321</v></c><c r="B324"><f t="shared" ref="B324:B387" si="5">INT((A324-1)/12)+1</f><v>27</v></c><c r="C324" s="37"><f>IF(A324&gt;&apos;Property Calculator&apos;!$B$70*12,0,IF(AND(&apos;Property Calculator&apos;!$B$72=1,B324&gt;&apos;Property Calculator&apos;!$B$69),&apos;Property Calculator&apos;!$B$73,&apos;Property Calculator&apos;!$B$65))</f><v>3.5000000000000003E-2</v></c><c r="D324" s="72"><f>IF(A324&gt;&apos;Property Calculator&apos;!$B$70*12,0,I323)</f><v>53913.806633735927</v></c><c r="E324" s="72"><f>IF(OR(A324&gt;&apos;Property Calculator&apos;!$B$70*12,D324&lt;=0),0,IF(AND(&apos;Property Calculator&apos;!$B$72=1,B324&gt;&apos;Property Calculator&apos;!$B$69),MIN(D324*C324/12+&apos;Property Calculator&apos;!$B$74/12,D324*(1+C324/12)),MIN(&apos;Property Calculator&apos;!$B$67,D324*(1+C324/12))))</f><v>1429.9603560928113</v></c><c r="F324" s="72"><f>IF(OR(A324&gt;&apos;Property Calculator&apos;!$B$70*12,D324&lt;=0),0,D324*C324/12)</f><v>157.24860268172981</v></c><c r="G324" s="72"><f>IF(OR(A324&gt;&apos;Property Calculator&apos;!$B$70*12,D324&lt;=0),0,MAX(0,MIN(D324,E324-F324)))</f><v>1272.7117534110814</v></c><c r="H324" s="126"><v>0</v></c><c r="I324" s="72"><f>IF(A324&gt;&apos;Property Calculator&apos;!$B$70*12,0,MAX(0,D324-G324-J324))</f><v>52641.094880324847</v></c><c r="J324" s="72"><f>IF(OR(A324&gt;&apos;Property Calculator&apos;!$B$70*12,D324&lt;=0),0,MIN(H324,MAX(0,D324-G324)))</f><v>0</v></c></row><row r="325" spans="1:10" x14ac:dyDescent="0.25"><c r="A325"><v>322</v></c><c r="B325"><f t="shared" si="5"/>&lt;v&gt;27&lt;/v&gt;&lt;/c&gt;&lt;c r=&quot;C325&quot; s=&quot;37&quot;&gt;&lt;f&gt;IF(A325&gt;&apos;Property Calculator&apos;!$B$70*12,0,IF(AND(&apos;Property Calculator&apos;!$B$72=1,B325&gt;&apos;Property Calculator&apos;!$B$69),&apos;Property Calculator&apos;!$B$73,&apos;Property Calculator&apos;!$B$65))</f><v>3.5000000000000003E-2</v></c><c r="D325" s="72"><f>IF(A325&gt;&apos;Property Calculator&apos;!$B$70*12,0,I324)</f><v>52641.094880324847</v></c><c r="E325" s="72"><f>IF(OR(A325&gt;&apos;Property Calculator&apos;!$B$70*12,D325&lt;=0),0,IF(AND(&apos;Property Calculator&apos;!$B$72=1,B325&gt;&apos;Property Calculator&apos;!$B$69),MIN(D325*C325/12+&apos;Property Calculator&apos;!$B$74/12,D325*(1+C325/12)),MIN(&apos;Property Calculator&apos;!$B$67,D325*(1+C325/12))))</f><v>1429.9603560928113</v></c><c r="F325" s="72"><f>IF(OR(A325&gt;&apos;Property Calculator&apos;!$B$70*12,D325&lt;=0),0,D325*C325/12)</f><v>153.53652673428081</v></c><c r="G325" s="72"><f>IF(OR(A325&gt;&apos;Property Calculator&apos;!$B$70*12,D325&lt;=0),0,MAX(0,MIN(D325,E325-F325)))</f><v>1276.4238293585304</v></c><c r="H325" s="126"><v>0</v></c><c r="I325" s="72"><f>IF(A325&gt;&apos;Property Calculator&apos;!$B$70*12,0,MAX(0,D325-G325-J325))</f><v>51364.671050966317</v></c><c r="J325" s="72"><f>IF(OR(A325&gt;&apos;Property Calculator&apos;!$B$70*12,D325&lt;=0),0,MIN(H325,MAX(0,D325-G325)))</f><v>0</v></c></row><row r="326" spans="1:10" x14ac:dyDescent="0.25"><c r="A326"><v>323</v></c><c r="B326"><f t="shared" si="5"/>&lt;v&gt;27&lt;/v&gt;&lt;/c&gt;&lt;c r=&quot;C326&quot; s=&quot;37&quot;&gt;&lt;f&gt;IF(A326&gt;&apos;Property Calculator&apos;!$B$70*12,0,IF(AND(&apos;Property Calculator&apos;!$B$72=1,B326&gt;&apos;Property Calculator&apos;!$B$69),&apos;Property Calculator&apos;!$B$73,&apos;Property Calculator&apos;!$B$65))</f><v>3.5000000000000003E-2</v></c><c r="D326" s="72"><f>IF(A326&gt;&apos;Property Calculator&apos;!$B$70*12,0,I325)</f><v>51364.671050966317</v></c><c r="E326" s="72"><f>IF(OR(A326&gt;&apos;Property Calculator&apos;!$B$70*12,D326&lt;=0),0,IF(AND(&apos;Property Calculator&apos;!$B$72=1,B326&gt;&apos;Property Calculator&apos;!$B$69),MIN(D326*C326/12+&apos;Property Calculator&apos;!$B$74/12,D326*(1+C326/12)),MIN(&apos;Property Calculator&apos;!$B$67,D326*(1+C326/12))))</f><v>1429.9603560928113</v></c><c r="F326" s="72"><f>IF(OR(A326&gt;&apos;Property Calculator&apos;!$B$70*12,D326&lt;=0),0,D326*C326/12)</f><v>149.81362389865177</v></c><c r="G326" s="72"><f>IF(OR(A326&gt;&apos;Property Calculator&apos;!$B$70*12,D326&lt;=0),0,MAX(0,MIN(D326,E326-F326)))</f><v>1280.1467321941595</v></c><c r="H326" s="126"><v>0</v></c><c r="I326" s="72"><f>IF(A326&gt;&apos;Property Calculator&apos;!$B$70*12,0,MAX(0,D326-G326-J326))</f><v>50084.524318772157</v></c><c r="J326" s="72"><f>IF(OR(A326&gt;&apos;Property Calculator&apos;!$B$70*12,D326&lt;=0),0,MIN(H326,MAX(0,D326-G326)))</f><v>0</v></c></row><row r="327" spans="1:10" x14ac:dyDescent="0.25"><c r="A327"><v>324</v></c><c r="B327"><f t="shared" si="5"/>&lt;v&gt;27&lt;/v&gt;&lt;/c&gt;&lt;c r=&quot;C327&quot; s=&quot;37&quot;&gt;&lt;f&gt;IF(A327&gt;&apos;Property Calculator&apos;!$B$70*12,0,IF(AND(&apos;Property Calculator&apos;!$B$72=1,B327&gt;&apos;Property Calculator&apos;!$B$69),&apos;Property Calculator&apos;!$B$73,&apos;Property Calculator&apos;!$B$65))</f><v>3.5000000000000003E-2</v></c><c r="D327" s="72"><f>IF(A327&gt;&apos;Property Calculator&apos;!$B$70*12,0,I326)</f><v>50084.524318772157</v></c><c r="E327" s="72"><f>IF(OR(A327&gt;&apos;Property Calculator&apos;!$B$70*12,D327&lt;=0),0,IF(AND(&apos;Property Calculator&apos;!$B$72=1,B327&gt;&apos;Property Calculator&apos;!$B$69),MIN(D327*C327/12+&apos;Property Calculator&apos;!$B$74/12,D327*(1+C327/12)),MIN(&apos;Property Calculator&apos;!$B$67,D327*(1+C327/12))))</f><v>1429.9603560928113</v></c><c r="F327" s="72"><f>IF(OR(A327&gt;&apos;Property Calculator&apos;!$B$70*12,D327&lt;=0),0,D327*C327/12)</f><v>146.07986259641879</v></c><c r="G327" s="72"><f>IF(OR(A327&gt;&apos;Property Calculator&apos;!$B$70*12,D327&lt;=0),0,MAX(0,MIN(D327,E327-F327)))</f><v>1283.8804934963925</v></c><c r="H327" s="126"><v>0</v></c><c r="I327" s="72"><f>IF(A327&gt;&apos;Property Calculator&apos;!$B$70*12,0,MAX(0,D327-G327-J327))</f><v>48800.643825275765</v></c><c r="J327" s="72"><f>IF(OR(A327&gt;&apos;Property Calculator&apos;!$B$70*12,D327&lt;=0),0,MIN(H327,MAX(0,D327-G327)))</f><v>0</v></c></row><row r="328" spans="1:10" x14ac:dyDescent="0.25"><c r="A328"><v>325</v></c><c r="B328"><f t="shared" si="5"/>&lt;v&gt;28&lt;/v&gt;&lt;/c&gt;&lt;c r=&quot;C328&quot; s=&quot;37&quot;&gt;&lt;f&gt;IF(A328&gt;&apos;Property Calculator&apos;!$B$70*12,0,IF(AND(&apos;Property Calculator&apos;!$B$72=1,B328&gt;&apos;Property Calculator&apos;!$B$69),&apos;Property Calculator&apos;!$B$73,&apos;Property Calculator&apos;!$B$65))</f><v>3.5000000000000003E-2</v></c><c r="D328" s="72"><f>IF(A328&gt;&apos;Property Calculator&apos;!$B$70*12,0,I327)</f><v>48800.643825275765</v></c><c r="E328" s="72"><f>IF(OR(A328&gt;&apos;Property Calculator&apos;!$B$70*12,D328&lt;=0),0,IF(AND(&apos;Property Calculator&apos;!$B$72=1,B328&gt;&apos;Property Calculator&apos;!$B$69),MIN(D328*C328/12+&apos;Property Calculator&apos;!$B$74/12,D328*(1+C328/12)),MIN(&apos;Property Calculator&apos;!$B$67,D328*(1+C328/12))))</f><v>1429.9603560928113</v></c><c r="F328" s="72"><f>IF(OR(A328&gt;&apos;Property Calculator&apos;!$B$70*12,D328&lt;=0),0,D328*C328/12)</f><v>142.33521115705432</v></c><c r="G328" s="72"><f>IF(OR(A328&gt;&apos;Property Calculator&apos;!$B$70*12,D328&lt;=0),0,MAX(0,MIN(D328,E328-F328)))</f><v>1287.6251449357569</v></c><c r="H328" s="126"><v>0</v></c><c r="I328" s="72"><f>IF(A328&gt;&apos;Property Calculator&apos;!$B$70*12,0,MAX(0,D328-G328-J328))</f><v>47513.018680340007</v></c><c r="J328" s="72"><f>IF(OR(A328&gt;&apos;Property Calculator&apos;!$B$70*12,D328&lt;=0),0,MIN(H328,MAX(0,D328-G328)))</f><v>0</v></c></row><row r="329" spans="1:10" x14ac:dyDescent="0.25"><c r="A329"><v>326</v></c><c r="B329"><f t="shared" si="5"/>&lt;v&gt;28&lt;/v&gt;&lt;/c&gt;&lt;c r=&quot;C329&quot; s=&quot;37&quot;&gt;&lt;f&gt;IF(A329&gt;&apos;Property Calculator&apos;!$B$70*12,0,IF(AND(&apos;Property Calculator&apos;!$B$72=1,B329&gt;&apos;Property Calculator&apos;!$B$69),&apos;Property Calculator&apos;!$B$73,&apos;Property Calculator&apos;!$B$65))</f><v>3.5000000000000003E-2</v></c><c r="D329" s="72"><f>IF(A329&gt;&apos;Property Calculator&apos;!$B$70*12,0,I328)</f><v>47513.018680340007</v></c><c r="E329" s="72"><f>IF(OR(A329&gt;&apos;Property Calculator&apos;!$B$70*12,D329&lt;=0),0,IF(AND(&apos;Property Calculator&apos;!$B$72=1,B329&gt;&apos;Property Calculator&apos;!$B$69),MIN(D329*C329/12+&apos;Property Calculator&apos;!$B$74/12,D329*(1+C329/12)),MIN(&apos;Property Calculator&apos;!$B$67,D329*(1+C329/12))))</f><v>1429.9603560928113</v></c><c r="F329" s="72"><f>IF(OR(A329&gt;&apos;Property Calculator&apos;!$B$70*12,D329&lt;=0),0,D329*C329/12)</f><v>138.57963781765838</v></c><c r="G329" s="72"><f>IF(OR(A329&gt;&apos;Property Calculator&apos;!$B$70*12,D329&lt;=0),0,MAX(0,MIN(D329,E329-F329)))</f><v>1291.380718275153</v></c><c r="H329" s="126"><v>0</v></c><c r="I329" s="72"><f>IF(A329&gt;&apos;Property Calculator&apos;!$B$70*12,0,MAX(0,D329-G329-J329))</f><v>46221.637962064851</v></c><c r="J329" s="72"><f>IF(OR(A329&gt;&apos;Property Calculator&apos;!$B$70*12,D329&lt;=0),0,MIN(H329,MAX(0,D329-G329)))</f><v>0</v></c></row><row r="330" spans="1:10" x14ac:dyDescent="0.25"><c r="A330"><v>327</v></c><c r="B330"><f t="shared" si="5"/>&lt;v&gt;28&lt;/v&gt;&lt;/c&gt;&lt;c r=&quot;C330&quot; s=&quot;37&quot;&gt;&lt;f&gt;IF(A330&gt;&apos;Property Calculator&apos;!$B$70*12,0,IF(AND(&apos;Property Calculator&apos;!$B$72=1,B330&gt;&apos;Property Calculator&apos;!$B$69),&apos;Property Calculator&apos;!$B$73,&apos;Property Calculator&apos;!$B$65))</f><v>3.5000000000000003E-2</v></c><c r="D330" s="72"><f>IF(A330&gt;&apos;Property Calculator&apos;!$B$70*12,0,I329)</f><v>46221.637962064851</v></c><c r="E330" s="72"><f>IF(OR(A330&gt;&apos;Property Calculator&apos;!$B$70*12,D330&lt;=0),0,IF(AND(&apos;Property Calculator&apos;!$B$72=1,B330&gt;&apos;Property Calculator&apos;!$B$69),MIN(D330*C330/12+&apos;Property Calculator&apos;!$B$74/12,D330*(1+C330/12)),MIN(&apos;Property Calculator&apos;!$B$67,D330*(1+C330/12))))</f><v>1429.9603560928113</v></c><c r="F330" s="72"><f>IF(OR(A330&gt;&apos;Property Calculator&apos;!$B$70*12,D330&lt;=0),0,D330*C330/12)</f><v>134.81311072268917</v></c><c r="G330" s="72"><f>IF(OR(A330&gt;&apos;Property Calculator&apos;!$B$70*12,D330&lt;=0),0,MAX(0,MIN(D330,E330-F330)))</f><v>1295.1472453701222</v></c><c r="H330" s="126"><v>0</v></c><c r="I330" s="72"><f>IF(A330&gt;&apos;Property Calculator&apos;!$B$70*12,0,MAX(0,D330-G330-J330))</f><v>44926.490716694731</v></c><c r="J330" s="72"><f>IF(OR(A330&gt;&apos;Property Calculator&apos;!$B$70*12,D330&lt;=0),0,MIN(H330,MAX(0,D330-G330)))</f><v>0</v></c></row><row r="331" spans="1:10" x14ac:dyDescent="0.25"><c r="A331"><v>328</v></c><c r="B331"><f t="shared" si="5"/>&lt;v&gt;28&lt;/v&gt;&lt;/c&gt;&lt;c r=&quot;C331&quot; s=&quot;37&quot;&gt;&lt;f&gt;IF(A331&gt;&apos;Property Calculator&apos;!$B$70*12,0,IF(AND(&apos;Property Calculator&apos;!$B$72=1,B331&gt;&apos;Property Calculator&apos;!$B$69),&apos;Property Calculator&apos;!$B$73,&apos;Property Calculator&apos;!$B$65))</f><v>3.5000000000000003E-2</v></c><c r="D331" s="72"><f>IF(A331&gt;&apos;Property Calculator&apos;!$B$70*12,0,I330)</f><v>44926.490716694731</v></c><c r="E331" s="72"><f>IF(OR(A331&gt;&apos;Property Calculator&apos;!$B$70*12,D331&lt;=0),0,IF(AND(&apos;Property Calculator&apos;!$B$72=1,B331&gt;&apos;Property Calculator&apos;!$B$69),MIN(D331*C331/12+&apos;Property Calculator&apos;!$B$74/12,D331*(1+C331/12)),MIN(&apos;Property Calculator&apos;!$B$67,D331*(1+C331/12))))</f><v>1429.9603560928113</v></c><c r="F331" s="72"><f>IF(OR(A331&gt;&apos;Property Calculator&apos;!$B$70*12,D331&lt;=0),0,D331*C331/12)</f><v>131.03559792369296</v></c><c r="G331" s="72"><f>IF(OR(A331&gt;&apos;Property Calculator&apos;!$B$70*12,D331&lt;=0),0,MAX(0,MIN(D331,E331-F331)))</f><v>1298.9247581691184</v></c><c r="H331" s="126"><v>0</v></c><c r="I331" s="72"><f>IF(A331&gt;&apos;Property Calculator&apos;!$B$70*12,0,MAX(0,D331-G331-J331))</f><v>43627.565958525614</v></c><c r="J331" s="72"><f>IF(OR(A331&gt;&apos;Property Calculator&apos;!$B$70*12,D331&lt;=0),0,MIN(H331,MAX(0,D331-G331)))</f><v>0</v></c></row><row r="332" spans="1:10" x14ac:dyDescent="0.25"><c r="A332"><v>329</v></c><c r="B332"><f t="shared" si="5"/>&lt;v&gt;28&lt;/v&gt;&lt;/c&gt;&lt;c r=&quot;C332&quot; s=&quot;37&quot;&gt;&lt;f&gt;IF(A332&gt;&apos;Property Calculator&apos;!$B$70*12,0,IF(AND(&apos;Property Calculator&apos;!$B$72=1,B332&gt;&apos;Property Calculator&apos;!$B$69),&apos;Property Calculator&apos;!$B$73,&apos;Property Calculator&apos;!$B$65))</f><v>3.5000000000000003E-2</v></c><c r="D332" s="72"><f>IF(A332&gt;&apos;Property Calculator&apos;!$B$70*12,0,I331)</f><v>43627.565958525614</v></c><c r="E332" s="72"><f>IF(OR(A332&gt;&apos;Property Calculator&apos;!$B$70*12,D332&lt;=0),0,IF(AND(&apos;Property Calculator&apos;!$B$72=1,B332&gt;&apos;Property Calculator&apos;!$B$69),MIN(D332*C332/12+&apos;Property Calculator&apos;!$B$74/12,D332*(1+C332/12)),MIN(&apos;Property Calculator&apos;!$B$67,D332*(1+C332/12))))</f><v>1429.9603560928113</v></c><c r="F332" s="72"><f>IF(OR(A332&gt;&apos;Property Calculator&apos;!$B$70*12,D332&lt;=0),0,D332*C332/12)</f><v>127.24706737903306</v></c><c r="G332" s="72"><f>IF(OR(A332&gt;&apos;Property Calculator&apos;!$B$70*12,D332&lt;=0),0,MAX(0,MIN(D332,E332-F332)))</f><v>1302.7132887137782</v></c><c r="H332" s="126"><v>0</v></c><c r="I332" s="72"><f>IF(A332&gt;&apos;Property Calculator&apos;!$B$70*12,0,MAX(0,D332-G332-J332))</f><v>42324.852669811837</v></c><c r="J332" s="72"><f>IF(OR(A332&gt;&apos;Property Calculator&apos;!$B$70*12,D332&lt;=0),0,MIN(H332,MAX(0,D332-G332)))</f><v>0</v></c></row><row r="333" spans="1:10" x14ac:dyDescent="0.25"><c r="A333"><v>330</v></c><c r="B333"><f t="shared" si="5"/>&lt;v&gt;28&lt;/v&gt;&lt;/c&gt;&lt;c r=&quot;C333&quot; s=&quot;37&quot;&gt;&lt;f&gt;IF(A333&gt;&apos;Property Calculator&apos;!$B$70*12,0,IF(AND(&apos;Property Calculator&apos;!$B$72=1,B333&gt;&apos;Property Calculator&apos;!$B$69),&apos;Property Calculator&apos;!$B$73,&apos;Property Calculator&apos;!$B$65))</f><v>3.5000000000000003E-2</v></c><c r="D333" s="72"><f>IF(A333&gt;&apos;Property Calculator&apos;!$B$70*12,0,I332)</f><v>42324.852669811837</v></c><c r="E333" s="72"><f>IF(OR(A333&gt;&apos;Property Calculator&apos;!$B$70*12,D333&lt;=0),0,IF(AND(&apos;Property Calculator&apos;!$B$72=1,B333&gt;&apos;Property Calculator&apos;!$B$69),MIN(D333*C333/12+&apos;Property Calculator&apos;!$B$74/12,D333*(1+C333/12)),MIN(&apos;Property Calculator&apos;!$B$67,D333*(1+C333/12))))</f><v>1429.9603560928113</v></c><c r="F333" s="72"><f>IF(OR(A333&gt;&apos;Property Calculator&apos;!$B$70*12,D333&lt;=0),0,D333*C333/12)</f><v>123.44748695361788</v></c><c r="G333" s="72"><f>IF(OR(A333&gt;&apos;Property Calculator&apos;!$B$70*12,D333&lt;=0),0,MAX(0,MIN(D333,E333-F333)))</f><v>1306.5128691391933</v></c><c r="H333" s="126"><v>0</v></c><c r="I333" s="72"><f>IF(A333&gt;&apos;Property Calculator&apos;!$B$70*12,0,MAX(0,D333-G333-J333))</f><v>41018.339800672642</v></c><c r="J333" s="72"><f>IF(OR(A333&gt;&apos;Property Calculator&apos;!$B$70*12,D333&lt;=0),0,MIN(H333,MAX(0,D333-G333)))</f><v>0</v></c></row><row r="334" spans="1:10" x14ac:dyDescent="0.25"><c r="A334"><v>331</v></c><c r="B334"><f t="shared" si="5"/>&lt;v&gt;28&lt;/v&gt;&lt;/c&gt;&lt;c r=&quot;C334&quot; s=&quot;37&quot;&gt;&lt;f&gt;IF(A334&gt;&apos;Property Calculator&apos;!$B$70*12,0,IF(AND(&apos;Property Calculator&apos;!$B$72=1,B334&gt;&apos;Property Calculator&apos;!$B$69),&apos;Property Calculator&apos;!$B$73,&apos;Property Calculator&apos;!$B$65))</f><v>3.5000000000000003E-2</v></c><c r="D334" s="72"><f>IF(A334&gt;&apos;Property Calculator&apos;!$B$70*12,0,I333)</f><v>41018.339800672642</v></c><c r="E334" s="72"><f>IF(OR(A334&gt;&apos;Property Calculator&apos;!$B$70*12,D334&lt;=0),0,IF(AND(&apos;Property Calculator&apos;!$B$72=1,B334&gt;&apos;Property Calculator&apos;!$B$69),MIN(D334*C334/12+&apos;Property Calculator&apos;!$B$74/12,D334*(1+C334/12)),MIN(&apos;Property Calculator&apos;!$B$67,D334*(1+C334/12))))</f><v>1429.9603560928113</v></c><c r="F334" s="72"><f>IF(OR(A334&gt;&apos;Property Calculator&apos;!$B$70*12,D334&lt;=0),0,D334*C334/12)</f><v>119.63682441862856</v></c><c r="G334" s="72"><f>IF(OR(A334&gt;&apos;Property Calculator&apos;!$B$70*12,D334&lt;=0),0,MAX(0,MIN(D334,E334-F334)))</f><v>1310.3235316741827</v></c><c r="H334" s="126"><v>0</v></c><c r="I334" s="72"><f>IF(A334&gt;&apos;Property Calculator&apos;!$B$70*12,0,MAX(0,D334-G334-J334))</f><v>39708.016268998457</v></c><c r="J334" s="72"><f>IF(OR(A334&gt;&apos;Property Calculator&apos;!$B$70*12,D334&lt;=0),0,MIN(H334,MAX(0,D334-G334)))</f><v>0</v></c></row><row r="335" spans="1:10" x14ac:dyDescent="0.25"><c r="A335"><v>332</v></c><c r="B335"><f t="shared" si="5"/>&lt;v&gt;28&lt;/v&gt;&lt;/c&gt;&lt;c r=&quot;C335&quot; s=&quot;37&quot;&gt;&lt;f&gt;IF(A335&gt;&apos;Property Calculator&apos;!$B$70*12,0,IF(AND(&apos;Property Calculator&apos;!$B$72=1,B335&gt;&apos;Property Calculator&apos;!$B$69),&apos;Property Calculator&apos;!$B$73,&apos;Property Calculator&apos;!$B$65))</f><v>3.5000000000000003E-2</v></c><c r="D335" s="72"><f>IF(A335&gt;&apos;Property Calculator&apos;!$B$70*12,0,I334)</f><v>39708.016268998457</v></c><c r="E335" s="72"><f>IF(OR(A335&gt;&apos;Property Calculator&apos;!$B$70*12,D335&lt;=0),0,IF(AND(&apos;Property Calculator&apos;!$B$72=1,B335&gt;&apos;Property Calculator&apos;!$B$69),MIN(D335*C335/12+&apos;Property Calculator&apos;!$B$74/12,D335*(1+C335/12)),MIN(&apos;Property Calculator&apos;!$B$67,D335*(1+C335/12))))</f><v>1429.9603560928113</v></c><c r="F335" s="72"><f>IF(OR(A335&gt;&apos;Property Calculator&apos;!$B$70*12,D335&lt;=0),0,D335*C335/12)</f><v>115.8150474512455</v></c><c r="G335" s="72"><f>IF(OR(A335&gt;&apos;Property Calculator&apos;!$B$70*12,D335&lt;=0),0,MAX(0,MIN(D335,E335-F335)))</f><v>1314.1453086415659</v></c><c r="H335" s="126"><v>0</v></c><c r="I335" s="72"><f>IF(A335&gt;&apos;Property Calculator&apos;!$B$70*12,0,MAX(0,D335-G335-J335))</f><v>38393.870960356893</v></c><c r="J335" s="72"><f>IF(OR(A335&gt;&apos;Property Calculator&apos;!$B$70*12,D335&lt;=0),0,MIN(H335,MAX(0,D335-G335)))</f><v>0</v></c></row><row r="336" spans="1:10" x14ac:dyDescent="0.25"><c r="A336"><v>333</v></c><c r="B336"><f t="shared" si="5"/>&lt;v&gt;28&lt;/v&gt;&lt;/c&gt;&lt;c r=&quot;C336&quot; s=&quot;37&quot;&gt;&lt;f&gt;IF(A336&gt;&apos;Property Calculator&apos;!$B$70*12,0,IF(AND(&apos;Property Calculator&apos;!$B$72=1,B336&gt;&apos;Property Calculator&apos;!$B$69),&apos;Property Calculator&apos;!$B$73,&apos;Property Calculator&apos;!$B$65))</f><v>3.5000000000000003E-2</v></c><c r="D336" s="72"><f>IF(A336&gt;&apos;Property Calculator&apos;!$B$70*12,0,I335)</f><v>38393.870960356893</v></c><c r="E336" s="72"><f>IF(OR(A336&gt;&apos;Property Calculator&apos;!$B$70*12,D336&lt;=0),0,IF(AND(&apos;Property Calculator&apos;!$B$72=1,B336&gt;&apos;Property Calculator&apos;!$B$69),MIN(D336*C336/12+&apos;Property Calculator&apos;!$B$74/12,D336*(1+C336/12)),MIN(&apos;Property Calculator&apos;!$B$67,D336*(1+C336/12))))</f><v>1429.9603560928113</v></c><c r="F336" s="72"><f>IF(OR(A336&gt;&apos;Property Calculator&apos;!$B$70*12,D336&lt;=0),0,D336*C336/12)</f><v>111.98212363437428</v></c><c r="G336" s="72"><f>IF(OR(A336&gt;&apos;Property Calculator&apos;!$B$70*12,D336&lt;=0),0,MAX(0,MIN(D336,E336-F336)))</f><v>1317.9782324584369</v></c><c r="H336" s="126"><v>0</v></c><c r="I336" s="72"><f>IF(A336&gt;&apos;Property Calculator&apos;!$B$70*12,0,MAX(0,D336-G336-J336))</f><v>37075.892727898456</v></c><c r="J336" s="72"><f>IF(OR(A336&gt;&apos;Property Calculator&apos;!$B$70*12,D336&lt;=0),0,MIN(H336,MAX(0,D336-G336)))</f><v>0</v></c></row><row r="337" spans="1:10" x14ac:dyDescent="0.25"><c r="A337"><v>334</v></c><c r="B337"><f t="shared" si="5"/>&lt;v&gt;28&lt;/v&gt;&lt;/c&gt;&lt;c r=&quot;C337&quot; s=&quot;37&quot;&gt;&lt;f&gt;IF(A337&gt;&apos;Property Calculator&apos;!$B$70*12,0,IF(AND(&apos;Property Calculator&apos;!$B$72=1,B337&gt;&apos;Property Calculator&apos;!$B$69),&apos;Property Calculator&apos;!$B$73,&apos;Property Calculator&apos;!$B$65))</f><v>3.5000000000000003E-2</v></c><c r="D337" s="72"><f>IF(A337&gt;&apos;Property Calculator&apos;!$B$70*12,0,I336)</f><v>37075.892727898456</v></c><c r="E337" s="72"><f>IF(OR(A337&gt;&apos;Property Calculator&apos;!$B$70*12,D337&lt;=0),0,IF(AND(&apos;Property Calculator&apos;!$B$72=1,B337&gt;&apos;Property Calculator&apos;!$B$69),MIN(D337*C337/12+&apos;Property Calculator&apos;!$B$74/12,D337*(1+C337/12)),MIN(&apos;Property Calculator&apos;!$B$67,D337*(1+C337/12))))</f><v>1429.9603560928113</v></c><c r="F337" s="72"><f>IF(OR(A337&gt;&apos;Property Calculator&apos;!$B$70*12,D337&lt;=0),0,D337*C337/12)</f><v>108.1380204563705</v></c><c r="G337" s="72"><f>IF(OR(A337&gt;&apos;Property Calculator&apos;!$B$70*12,D337&lt;=0),0,MAX(0,MIN(D337,E337-F337)))</f><v>1321.8223356364408</v></c><c r="H337" s="126"><v>0</v></c><c r="I337" s="72"><f>IF(A337&gt;&apos;Property Calculator&apos;!$B$70*12,0,MAX(0,D337-G337-J337))</f><v>35754.070392262016</v></c><c r="J337" s="72"><f>IF(OR(A337&gt;&apos;Property Calculator&apos;!$B$70*12,D337&lt;=0),0,MIN(H337,MAX(0,D337-G337)))</f><v>0</v></c></row><row r="338" spans="1:10" x14ac:dyDescent="0.25"><c r="A338"><v>335</v></c><c r="B338"><f t="shared" si="5"/>&lt;v&gt;28&lt;/v&gt;&lt;/c&gt;&lt;c r=&quot;C338&quot; s=&quot;37&quot;&gt;&lt;f&gt;IF(A338&gt;&apos;Property Calculator&apos;!$B$70*12,0,IF(AND(&apos;Property Calculator&apos;!$B$72=1,B338&gt;&apos;Property Calculator&apos;!$B$69),&apos;Property Calculator&apos;!$B$73,&apos;Property Calculator&apos;!$B$65))</f><v>3.5000000000000003E-2</v></c><c r="D338" s="72"><f>IF(A338&gt;&apos;Property Calculator&apos;!$B$70*12,0,I337)</f><v>35754.070392262016</v></c><c r="E338" s="72"><f>IF(OR(A338&gt;&apos;Property Calculator&apos;!$B$70*12,D338&lt;=0),0,IF(AND(&apos;Property Calculator&apos;!$B$72=1,B338&gt;&apos;Property Calculator&apos;!$B$69),MIN(D338*C338/12+&apos;Property Calculator&apos;!$B$74/12,D338*(1+C338/12)),MIN(&apos;Property Calculator&apos;!$B$67,D338*(1+C338/12))))</f><v>1429.9603560928113</v></c><c r="F338" s="72"><f>IF(OR(A338&gt;&apos;Property Calculator&apos;!$B$70*12,D338&lt;=0),0,D338*C338/12)</f><v>104.28270531076423</v></c><c r="G338" s="72"><f>IF(OR(A338&gt;&apos;Property Calculator&apos;!$B$70*12,D338&lt;=0),0,MAX(0,MIN(D338,E338-F338)))</f><v>1325.6776507820471</v></c><c r="H338" s="126"><v>0</v></c><c r="I338" s="72"><f>IF(A338&gt;&apos;Property Calculator&apos;!$B$70*12,0,MAX(0,D338-G338-J338))</f><v>34428.392741479969</v></c><c r="J338" s="72"><f>IF(OR(A338&gt;&apos;Property Calculator&apos;!$B$70*12,D338&lt;=0),0,MIN(H338,MAX(0,D338-G338)))</f><v>0</v></c></row><row r="339" spans="1:10" x14ac:dyDescent="0.25"><c r="A339"><v>336</v></c><c r="B339"><f t="shared" si="5"/>&lt;v&gt;28&lt;/v&gt;&lt;/c&gt;&lt;c r=&quot;C339&quot; s=&quot;37&quot;&gt;&lt;f&gt;IF(A339&gt;&apos;Property Calculator&apos;!$B$70*12,0,IF(AND(&apos;Property Calculator&apos;!$B$72=1,B339&gt;&apos;Property Calculator&apos;!$B$69),&apos;Property Calculator&apos;!$B$73,&apos;Property Calculator&apos;!$B$65))</f><v>3.5000000000000003E-2</v></c><c r="D339" s="72"><f>IF(A339&gt;&apos;Property Calculator&apos;!$B$70*12,0,I338)</f><v>34428.392741479969</v></c><c r="E339" s="72"><f>IF(OR(A339&gt;&apos;Property Calculator&apos;!$B$70*12,D339&lt;=0),0,IF(AND(&apos;Property Calculator&apos;!$B$72=1,B339&gt;&apos;Property Calculator&apos;!$B$69),MIN(D339*C339/12+&apos;Property Calculator&apos;!$B$74/12,D339*(1+C339/12)),MIN(&apos;Property Calculator&apos;!$B$67,D339*(1+C339/12))))</f><v>1429.9603560928113</v></c><c r="F339" s="72"><f>IF(OR(A339&gt;&apos;Property Calculator&apos;!$B$70*12,D339&lt;=0),0,D339*C339/12)</f><v>100.41614549598324</v></c><c r="G339" s="72"><f>IF(OR(A339&gt;&apos;Property Calculator&apos;!$B$70*12,D339&lt;=0),0,MAX(0,MIN(D339,E339-F339)))</f><v>1329.544210596828</v></c><c r="H339" s="126"><v>0</v></c><c r="I339" s="72"><f>IF(A339&gt;&apos;Property Calculator&apos;!$B$70*12,0,MAX(0,D339-G339-J339))</f><v>33098.848530883144</v></c><c r="J339" s="72"><f>IF(OR(A339&gt;&apos;Property Calculator&apos;!$B$70*12,D339&lt;=0),0,MIN(H339,MAX(0,D339-G339)))</f><v>0</v></c></row><row r="340" spans="1:10" x14ac:dyDescent="0.25"><c r="A340"><v>337</v></c><c r="B340"><f t="shared" si="5"/>&lt;v&gt;29&lt;/v&gt;&lt;/c&gt;&lt;c r=&quot;C340&quot; s=&quot;37&quot;&gt;&lt;f&gt;IF(A340&gt;&apos;Property Calculator&apos;!$B$70*12,0,IF(AND(&apos;Property Calculator&apos;!$B$72=1,B340&gt;&apos;Property Calculator&apos;!$B$69),&apos;Property Calculator&apos;!$B$73,&apos;Property Calculator&apos;!$B$65))</f><v>3.5000000000000003E-2</v></c><c r="D340" s="72"><f>IF(A340&gt;&apos;Property Calculator&apos;!$B$70*12,0,I339)</f><v>33098.848530883144</v></c><c r="E340" s="72"><f>IF(OR(A340&gt;&apos;Property Calculator&apos;!$B$70*12,D340&lt;=0),0,IF(AND(&apos;Property Calculator&apos;!$B$72=1,B340&gt;&apos;Property Calculator&apos;!$B$69),MIN(D340*C340/12+&apos;Property Calculator&apos;!$B$74/12,D340*(1+C340/12)),MIN(&apos;Property Calculator&apos;!$B$67,D340*(1+C340/12))))</f><v>1429.9603560928113</v></c><c r="F340" s="72"><f>IF(OR(A340&gt;&apos;Property Calculator&apos;!$B$70*12,D340&lt;=0),0,D340*C340/12)</f><v>96.538308215075844</v></c><c r="G340" s="72"><f>IF(OR(A340&gt;&apos;Property Calculator&apos;!$B$70*12,D340&lt;=0),0,MAX(0,MIN(D340,E340-F340)))</f><v>1333.4220478777354</v></c><c r="H340" s="126"><v>0</v></c><c r="I340" s="72"><f>IF(A340&gt;&apos;Property Calculator&apos;!$B$70*12,0,MAX(0,D340-G340-J340))</f><v>31765.426483005409</v></c><c r="J340" s="72"><f>IF(OR(A340&gt;&apos;Property Calculator&apos;!$B$70*12,D340&lt;=0),0,MIN(H340,MAX(0,D340-G340)))</f><v>0</v></c></row><row r="341" spans="1:10" x14ac:dyDescent="0.25"><c r="A341"><v>338</v></c><c r="B341"><f t="shared" si="5"/>&lt;v&gt;29&lt;/v&gt;&lt;/c&gt;&lt;c r=&quot;C341&quot; s=&quot;37&quot;&gt;&lt;f&gt;IF(A341&gt;&apos;Property Calculator&apos;!$B$70*12,0,IF(AND(&apos;Property Calculator&apos;!$B$72=1,B341&gt;&apos;Property Calculator&apos;!$B$69),&apos;Property Calculator&apos;!$B$73,&apos;Property Calculator&apos;!$B$65))</f><v>3.5000000000000003E-2</v></c><c r="D341" s="72"><f>IF(A341&gt;&apos;Property Calculator&apos;!$B$70*12,0,I340)</f><v>31765.426483005409</v></c><c r="E341" s="72"><f>IF(OR(A341&gt;&apos;Property Calculator&apos;!$B$70*12,D341&lt;=0),0,IF(AND(&apos;Property Calculator&apos;!$B$72=1,B341&gt;&apos;Property Calculator&apos;!$B$69),MIN(D341*C341/12+&apos;Property Calculator&apos;!$B$74/12,D341*(1+C341/12)),MIN(&apos;Property Calculator&apos;!$B$67,D341*(1+C341/12))))</f><v>1429.9603560928113</v></c><c r="F341" s="72"><f>IF(OR(A341&gt;&apos;Property Calculator&apos;!$B$70*12,D341&lt;=0),0,D341*C341/12)</f><v>92.649160575432461</v></c><c r="G341" s="72"><f>IF(OR(A341&gt;&apos;Property Calculator&apos;!$B$70*12,D341&lt;=0),0,MAX(0,MIN(D341,E341-F341)))</f><v>1337.3111955173788</v></c><c r="H341" s="126"><v>0</v></c><c r="I341" s="72"><f>IF(A341&gt;&apos;Property Calculator&apos;!$B$70*12,0,MAX(0,D341-G341-J341))</f><v>30428.115287488032</v></c><c r="J341" s="72"><f>IF(OR(A341&gt;&apos;Property Calculator&apos;!$B$70*12,D341&lt;=0),0,MIN(H341,MAX(0,D341-G341)))</f><v>0</v></c></row><row r="342" spans="1:10" x14ac:dyDescent="0.25"><c r="A342"><v>339</v></c><c r="B342"><f t="shared" si="5"/>&lt;v&gt;29&lt;/v&gt;&lt;/c&gt;&lt;c r=&quot;C342&quot; s=&quot;37&quot;&gt;&lt;f&gt;IF(A342&gt;&apos;Property Calculator&apos;!$B$70*12,0,IF(AND(&apos;Property Calculator&apos;!$B$72=1,B342&gt;&apos;Property Calculator&apos;!$B$69),&apos;Property Calculator&apos;!$B$73,&apos;Property Calculator&apos;!$B$65))</f><v>3.5000000000000003E-2</v></c><c r="D342" s="72"><f>IF(A342&gt;&apos;Property Calculator&apos;!$B$70*12,0,I341)</f><v>30428.115287488032</v></c><c r="E342" s="72"><f>IF(OR(A342&gt;&apos;Property Calculator&apos;!$B$70*12,D342&lt;=0),0,IF(AND(&apos;Property Calculator&apos;!$B$72=1,B342&gt;&apos;Property Calculator&apos;!$B$69),MIN(D342*C342/12+&apos;Property Calculator&apos;!$B$74/12,D342*(1+C342/12)),MIN(&apos;Property Calculator&apos;!$B$67,D342*(1+C342/12))))</f><v>1429.9603560928113</v></c><c r="F342" s="72"><f>IF(OR(A342&gt;&apos;Property Calculator&apos;!$B$70*12,D342&lt;=0),0,D342*C342/12)</f><v>88.748669588506758</v></c><c r="G342" s="72"><f>IF(OR(A342&gt;&apos;Property Calculator&apos;!$B$70*12,D342&lt;=0),0,MAX(0,MIN(D342,E342-F342)))</f><v>1341.2116865043045</v></c><c r="H342" s="126"><v>0</v></c><c r="I342" s="72"><f>IF(A342&gt;&apos;Property Calculator&apos;!$B$70*12,0,MAX(0,D342-G342-J342))</f><v>29086.903600983729</v></c><c r="J342" s="72"><f>IF(OR(A342&gt;&apos;Property Calculator&apos;!$B$70*12,D342&lt;=0),0,MIN(H342,MAX(0,D342-G342)))</f><v>0</v></c></row><row r="343" spans="1:10" x14ac:dyDescent="0.25"><c r="A343"><v>340</v></c><c r="B343"><f t="shared" si="5"/>&lt;v&gt;29&lt;/v&gt;&lt;/c&gt;&lt;c r=&quot;C343&quot; s=&quot;37&quot;&gt;&lt;f&gt;IF(A343&gt;&apos;Property Calculator&apos;!$B$70*12,0,IF(AND(&apos;Property Calculator&apos;!$B$72=1,B343&gt;&apos;Property Calculator&apos;!$B$69),&apos;Property Calculator&apos;!$B$73,&apos;Property Calculator&apos;!$B$65))</f><v>3.5000000000000003E-2</v></c><c r="D343" s="72"><f>IF(A343&gt;&apos;Property Calculator&apos;!$B$70*12,0,I342)</f><v>29086.903600983729</v></c><c r="E343" s="72"><f>IF(OR(A343&gt;&apos;Property Calculator&apos;!$B$70*12,D343&lt;=0),0,IF(AND(&apos;Property Calculator&apos;!$B$72=1,B343&gt;&apos;Property Calculator&apos;!$B$69),MIN(D343*C343/12+&apos;Property Calculator&apos;!$B$74/12,D343*(1+C343/12)),MIN(&apos;Property Calculator&apos;!$B$67,D343*(1+C343/12))))</f><v>1429.9603560928113</v></c><c r="F343" s="72"><f>IF(OR(A343&gt;&apos;Property Calculator&apos;!$B$70*12,D343&lt;=0),0,D343*C343/12)</f><v>84.836802169535886</v></c><c r="G343" s="72"><f>IF(OR(A343&gt;&apos;Property Calculator&apos;!$B$70*12,D343&lt;=0),0,MAX(0,MIN(D343,E343-F343)))</f><v>1345.1235539232753</v></c><c r="H343" s="126"><v>0</v></c><c r="I343" s="72"><f>IF(A343&gt;&apos;Property Calculator&apos;!$B$70*12,0,MAX(0,D343-G343-J343))</f><v>27741.780047060452</v></c><c r="J343" s="72"><f>IF(OR(A343&gt;&apos;Property Calculator&apos;!$B$70*12,D343&lt;=0),0,MIN(H343,MAX(0,D343-G343)))</f><v>0</v></c></row><row r="344" spans="1:10" x14ac:dyDescent="0.25"><c r="A344"><v>341</v></c><c r="B344"><f t="shared" si="5"/>&lt;v&gt;29&lt;/v&gt;&lt;/c&gt;&lt;c r=&quot;C344&quot; s=&quot;37&quot;&gt;&lt;f&gt;IF(A344&gt;&apos;Property Calculator&apos;!$B$70*12,0,IF(AND(&apos;Property Calculator&apos;!$B$72=1,B344&gt;&apos;Property Calculator&apos;!$B$69),&apos;Property Calculator&apos;!$B$73,&apos;Property Calculator&apos;!$B$65))</f><v>3.5000000000000003E-2</v></c><c r="D344" s="72"><f>IF(A344&gt;&apos;Property Calculator&apos;!$B$70*12,0,I343)</f><v>27741.780047060452</v></c><c r="E344" s="72"><f>IF(OR(A344&gt;&apos;Property Calculator&apos;!$B$70*12,D344&lt;=0),0,IF(AND(&apos;Property Calculator&apos;!$B$72=1,B344&gt;&apos;Property Calculator&apos;!$B$69),MIN(D344*C344/12+&apos;Property Calculator&apos;!$B$74/12,D344*(1+C344/12)),MIN(&apos;Property Calculator&apos;!$B$67,D344*(1+C344/12))))</f><v>1429.9603560928113</v></c><c r="F344" s="72"><f>IF(OR(A344&gt;&apos;Property Calculator&apos;!$B$70*12,D344&lt;=0),0,D344*C344/12)</f><v>80.913525137259668</v></c><c r="G344" s="72"><f>IF(OR(A344&gt;&apos;Property Calculator&apos;!$B$70*12,D344&lt;=0),0,MAX(0,MIN(D344,E344-F344)))</f><v>1349.0468309555515</v></c><c r="H344" s="126"><v>0</v></c><c r="I344" s="72"><f>IF(A344&gt;&apos;Property Calculator&apos;!$B$70*12,0,MAX(0,D344-G344-J344))</f><v>26392.733216104902</v></c><c r="J344" s="72"><f>IF(OR(A344&gt;&apos;Property Calculator&apos;!$B$70*12,D344&lt;=0),0,MIN(H344,MAX(0,D344-G344)))</f><v>0</v></c></row><row r="345" spans="1:10" x14ac:dyDescent="0.25"><c r="A345"><v>342</v></c><c r="B345"><f t="shared" si="5"/>&lt;v&gt;29&lt;/v&gt;&lt;/c&gt;&lt;c r=&quot;C345&quot; s=&quot;37&quot;&gt;&lt;f&gt;IF(A345&gt;&apos;Property Calculator&apos;!$B$70*12,0,IF(AND(&apos;Property Calculator&apos;!$B$72=1,B345&gt;&apos;Property Calculator&apos;!$B$69),&apos;Property Calculator&apos;!$B$73,&apos;Property Calculator&apos;!$B$65))</f><v>3.5000000000000003E-2</v></c><c r="D345" s="72"><f>IF(A345&gt;&apos;Property Calculator&apos;!$B$70*12,0,I344)</f><v>26392.733216104902</v></c><c r="E345" s="72"><f>IF(OR(A345&gt;&apos;Property Calculator&apos;!$B$70*12,D345&lt;=0),0,IF(AND(&apos;Property Calculator&apos;!$B$72=1,B345&gt;&apos;Property Calculator&apos;!$B$69),MIN(D345*C345/12+&apos;Property Calculator&apos;!$B$74/12,D345*(1+C345/12)),MIN(&apos;Property Calculator&apos;!$B$67,D345*(1+C345/12))))</f><v>1429.9603560928113</v></c><c r="F345" s="72"><f>IF(OR(A345&gt;&apos;Property Calculator&apos;!$B$70*12,D345&lt;=0),0,D345*C345/12)</f><v>76.978805213639305</v></c><c r="G345" s="72"><f>IF(OR(A345&gt;&apos;Property Calculator&apos;!$B$70*12,D345&lt;=0),0,MAX(0,MIN(D345,E345-F345)))</f><v>1352.9815508791719</v></c><c r="H345" s="126"><v>0</v></c><c r="I345" s="72"><f>IF(A345&gt;&apos;Property Calculator&apos;!$B$70*12,0,MAX(0,D345-G345-J345))</f><v>25039.751665225729</v></c><c r="J345" s="72"><f>IF(OR(A345&gt;&apos;Property Calculator&apos;!$B$70*12,D345&lt;=0),0,MIN(H345,MAX(0,D345-G345)))</f><v>0</v></c></row><row r="346" spans="1:10" x14ac:dyDescent="0.25"><c r="A346"><v>343</v></c><c r="B346"><f t="shared" si="5"/>&lt;v&gt;29&lt;/v&gt;&lt;/c&gt;&lt;c r=&quot;C346&quot; s=&quot;37&quot;&gt;&lt;f&gt;IF(A346&gt;&apos;Property Calculator&apos;!$B$70*12,0,IF(AND(&apos;Property Calculator&apos;!$B$72=1,B346&gt;&apos;Property Calculator&apos;!$B$69),&apos;Property Calculator&apos;!$B$73,&apos;Property Calculator&apos;!$B$65))</f><v>3.5000000000000003E-2</v></c><c r="D346" s="72"><f>IF(A346&gt;&apos;Property Calculator&apos;!$B$70*12,0,I345)</f><v>25039.751665225729</v></c><c r="E346" s="72"><f>IF(OR(A346&gt;&apos;Property Calculator&apos;!$B$70*12,D346&lt;=0),0,IF(AND(&apos;Property Calculator&apos;!$B$72=1,B346&gt;&apos;Property Calculator&apos;!$B$69),MIN(D346*C346/12+&apos;Property Calculator&apos;!$B$74/12,D346*(1+C346/12)),MIN(&apos;Property Calculator&apos;!$B$67,D346*(1+C346/12))))</f><v>1429.9603560928113</v></c><c r="F346" s="72"><f>IF(OR(A346&gt;&apos;Property Calculator&apos;!$B$70*12,D346&lt;=0),0,D346*C346/12)</f><v>73.032609023575048</v></c><c r="G346" s="72"><f>IF(OR(A346&gt;&apos;Property Calculator&apos;!$B$70*12,D346&lt;=0),0,MAX(0,MIN(D346,E346-F346)))</f><v>1356.9277470692361</v></c><c r="H346" s="126"><v>0</v></c><c r="I346" s="72"><f>IF(A346&gt;&apos;Property Calculator&apos;!$B$70*12,0,MAX(0,D346-G346-J346))</f><v>23682.823918156493</v></c><c r="J346" s="72"><f>IF(OR(A346&gt;&apos;Property Calculator&apos;!$B$70*12,D346&lt;=0),0,MIN(H346,MAX(0,D346-G346)))</f><v>0</v></c></row><row r="347" spans="1:10" x14ac:dyDescent="0.25"><c r="A347"><v>344</v></c><c r="B347"><f t="shared" si="5"/>&lt;v&gt;29&lt;/v&gt;&lt;/c&gt;&lt;c r=&quot;C347&quot; s=&quot;37&quot;&gt;&lt;f&gt;IF(A347&gt;&apos;Property Calculator&apos;!$B$70*12,0,IF(AND(&apos;Property Calculator&apos;!$B$72=1,B347&gt;&apos;Property Calculator&apos;!$B$69),&apos;Property Calculator&apos;!$B$73,&apos;Property Calculator&apos;!$B$65))</f><v>3.5000000000000003E-2</v></c><c r="D347" s="72"><f>IF(A347&gt;&apos;Property Calculator&apos;!$B$70*12,0,I346)</f><v>23682.823918156493</v></c><c r="E347" s="72"><f>IF(OR(A347&gt;&apos;Property Calculator&apos;!$B$70*12,D347&lt;=0),0,IF(AND(&apos;Property Calculator&apos;!$B$72=1,B347&gt;&apos;Property Calculator&apos;!$B$69),MIN(D347*C347/12+&apos;Property Calculator&apos;!$B$74/12,D347*(1+C347/12)),MIN(&apos;Property Calculator&apos;!$B$67,D347*(1+C347/12))))</f><v>1429.9603560928113</v></c><c r="F347" s="72"><f>IF(OR(A347&gt;&apos;Property Calculator&apos;!$B$70*12,D347&lt;=0),0,D347*C347/12)</f><v>69.07490309462311</v></c><c r="G347" s="72"><f>IF(OR(A347&gt;&apos;Property Calculator&apos;!$B$70*12,D347&lt;=0),0,MAX(0,MIN(D347,E347-F347)))</f><v>1360.8854529981882</v></c><c r="H347" s="126"><v>0</v></c><c r="I347" s="72"><f>IF(A347&gt;&apos;Property Calculator&apos;!$B$70*12,0,MAX(0,D347-G347-J347))</f><v>22321.938465158306</v></c><c r="J347" s="72"><f>IF(OR(A347&gt;&apos;Property Calculator&apos;!$B$70*12,D347&lt;=0),0,MIN(H347,MAX(0,D347-G347)))</f><v>0</v></c></row><row r="348" spans="1:10" x14ac:dyDescent="0.25"><c r="A348"><v>345</v></c><c r="B348"><f t="shared" si="5"/>&lt;v&gt;29&lt;/v&gt;&lt;/c&gt;&lt;c r=&quot;C348&quot; s=&quot;37&quot;&gt;&lt;f&gt;IF(A348&gt;&apos;Property Calculator&apos;!$B$70*12,0,IF(AND(&apos;Property Calculator&apos;!$B$72=1,B348&gt;&apos;Property Calculator&apos;!$B$69),&apos;Property Calculator&apos;!$B$73,&apos;Property Calculator&apos;!$B$65))</f><v>3.5000000000000003E-2</v></c><c r="D348" s="72"><f>IF(A348&gt;&apos;Property Calculator&apos;!$B$70*12,0,I347)</f><v>22321.938465158306</v></c><c r="E348" s="72"><f>IF(OR(A348&gt;&apos;Property Calculator&apos;!$B$70*12,D348&lt;=0),0,IF(AND(&apos;Property Calculator&apos;!$B$72=1,B348&gt;&apos;Property Calculator&apos;!$B$69),MIN(D348*C348/12+&apos;Property Calculator&apos;!$B$74/12,D348*(1+C348/12)),MIN(&apos;Property Calculator&apos;!$B$67,D348*(1+C348/12))))</f><v>1429.9603560928113</v></c><c r="F348" s="72"><f>IF(OR(A348&gt;&apos;Property Calculator&apos;!$B$70*12,D348&lt;=0),0,D348*C348/12)</f><v>65.105653856711726</v></c><c r="G348" s="72"><f>IF(OR(A348&gt;&apos;Property Calculator&apos;!$B$70*12,D348&lt;=0),0,MAX(0,MIN(D348,E348-F348)))</f><v>1364.8547022360995</v></c><c r="H348" s="126"><v>0</v></c><c r="I348" s="72"><f>IF(A348&gt;&apos;Property Calculator&apos;!$B$70*12,0,MAX(0,D348-G348-J348))</f><v>20957.083762922208</v></c><c r="J348" s="72"><f>IF(OR(A348&gt;&apos;Property Calculator&apos;!$B$70*12,D348&lt;=0),0,MIN(H348,MAX(0,D348-G348)))</f><v>0</v></c></row><row r="349" spans="1:10" x14ac:dyDescent="0.25"><c r="A349"><v>346</v></c><c r="B349"><f t="shared" si="5"/>&lt;v&gt;29&lt;/v&gt;&lt;/c&gt;&lt;c r=&quot;C349&quot; s=&quot;37&quot;&gt;&lt;f&gt;IF(A349&gt;&apos;Property Calculator&apos;!$B$70*12,0,IF(AND(&apos;Property Calculator&apos;!$B$72=1,B349&gt;&apos;Property Calculator&apos;!$B$69),&apos;Property Calculator&apos;!$B$73,&apos;Property Calculator&apos;!$B$65))</f><v>3.5000000000000003E-2</v></c><c r="D349" s="72"><f>IF(A349&gt;&apos;Property Calculator&apos;!$B$70*12,0,I348)</f><v>20957.083762922208</v></c><c r="E349" s="72"><f>IF(OR(A349&gt;&apos;Property Calculator&apos;!$B$70*12,D349&lt;=0),0,IF(AND(&apos;Property Calculator&apos;!$B$72=1,B349&gt;&apos;Property Calculator&apos;!$B$69),MIN(D349*C349/12+&apos;Property Calculator&apos;!$B$74/12,D349*(1+C349/12)),MIN(&apos;Property Calculator&apos;!$B$67,D349*(1+C349/12))))</f><v>1429.9603560928113</v></c><c r="F349" s="72"><f>IF(OR(A349&gt;&apos;Property Calculator&apos;!$B$70*12,D349&lt;=0),0,D349*C349/12)</f><v>61.124827641856449</v></c><c r="G349" s="72"><f>IF(OR(A349&gt;&apos;Property Calculator&apos;!$B$70*12,D349&lt;=0),0,MAX(0,MIN(D349,E349-F349)))</f><v>1368.8355284509548</v></c><c r="H349" s="126"><v>0</v></c><c r="I349" s="72"><f>IF(A349&gt;&apos;Property Calculator&apos;!$B$70*12,0,MAX(0,D349-G349-J349))</f><v>19588.248234471252</v></c><c r="J349" s="72"><f>IF(OR(A349&gt;&apos;Property Calculator&apos;!$B$70*12,D349&lt;=0),0,MIN(H349,MAX(0,D349-G349)))</f><v>0</v></c></row><row r="350" spans="1:10" x14ac:dyDescent="0.25"><c r="A350"><v>347</v></c><c r="B350"><f t="shared" si="5"/>&lt;v&gt;29&lt;/v&gt;&lt;/c&gt;&lt;c r=&quot;C350&quot; s=&quot;37&quot;&gt;&lt;f&gt;IF(A350&gt;&apos;Property Calculator&apos;!$B$70*12,0,IF(AND(&apos;Property Calculator&apos;!$B$72=1,B350&gt;&apos;Property Calculator&apos;!$B$69),&apos;Property Calculator&apos;!$B$73,&apos;Property Calculator&apos;!$B$65))</f><v>3.5000000000000003E-2</v></c><c r="D350" s="72"><f>IF(A350&gt;&apos;Property Calculator&apos;!$B$70*12,0,I349)</f><v>19588.248234471252</v></c><c r="E350" s="72"><f>IF(OR(A350&gt;&apos;Property Calculator&apos;!$B$70*12,D350&lt;=0),0,IF(AND(&apos;Property Calculator&apos;!$B$72=1,B350&gt;&apos;Property Calculator&apos;!$B$69),MIN(D350*C350/12+&apos;Property Calculator&apos;!$B$74/12,D350*(1+C350/12)),MIN(&apos;Property Calculator&apos;!$B$67,D350*(1+C350/12))))</f><v>1429.9603560928113</v></c><c r="F350" s="72"><f>IF(OR(A350&gt;&apos;Property Calculator&apos;!$B$70*12,D350&lt;=0),0,D350*C350/12)</f><v>57.13239068387449</v></c><c r="G350" s="72"><f>IF(OR(A350&gt;&apos;Property Calculator&apos;!$B$70*12,D350&lt;=0),0,MAX(0,MIN(D350,E350-F350)))</f><v>1372.8279654089367</v></c><c r="H350" s="126"><v>0</v></c><c r="I350" s="72"><f>IF(A350&gt;&apos;Property Calculator&apos;!$B$70*12,0,MAX(0,D350-G350-J350))</f><v>18215.420269062313</v></c><c r="J350" s="72"><f>IF(OR(A350&gt;&apos;Property Calculator&apos;!$B$70*12,D350&lt;=0),0,MIN(H350,MAX(0,D350-G350)))</f><v>0</v></c></row><row r="351" spans="1:10" x14ac:dyDescent="0.25"><c r="A351"><v>348</v></c><c r="B351"><f t="shared" si="5"/>&lt;v&gt;29&lt;/v&gt;&lt;/c&gt;&lt;c r=&quot;C351&quot; s=&quot;37&quot;&gt;&lt;f&gt;IF(A351&gt;&apos;Property Calculator&apos;!$B$70*12,0,IF(AND(&apos;Property Calculator&apos;!$B$72=1,B351&gt;&apos;Property Calculator&apos;!$B$69),&apos;Property Calculator&apos;!$B$73,&apos;Property Calculator&apos;!$B$65))</f><v>3.5000000000000003E-2</v></c><c r="D351" s="72"><f>IF(A351&gt;&apos;Property Calculator&apos;!$B$70*12,0,I350)</f><v>18215.420269062313</v></c><c r="E351" s="72"><f>IF(OR(A351&gt;&apos;Property Calculator&apos;!$B$70*12,D351&lt;=0),0,IF(AND(&apos;Property Calculator&apos;!$B$72=1,B351&gt;&apos;Property Calculator&apos;!$B$69),MIN(D351*C351/12+&apos;Property Calculator&apos;!$B$74/12,D351*(1+C351/12)),MIN(&apos;Property Calculator&apos;!$B$67,D351*(1+C351/12))))</f><v>1429.9603560928113</v></c><c r="F351" s="72"><f>IF(OR(A351&gt;&apos;Property Calculator&apos;!$B$70*12,D351&lt;=0),0,D351*C351/12)</f><v>53.128309118098421</v></c><c r="G351" s="72"><f>IF(OR(A351&gt;&apos;Property Calculator&apos;!$B$70*12,D351&lt;=0),0,MAX(0,MIN(D351,E351-F351)))</f><v>1376.8320469747127</v></c><c r="H351" s="126"><v>0</v></c><c r="I351" s="72"><f>IF(A351&gt;&apos;Property Calculator&apos;!$B$70*12,0,MAX(0,D351-G351-J351))</f><v>16838.588222087601</v></c><c r="J351" s="72"><f>IF(OR(A351&gt;&apos;Property Calculator&apos;!$B$70*12,D351&lt;=0),0,MIN(H351,MAX(0,D351-G351)))</f><v>0</v></c></row><row r="352" spans="1:10" x14ac:dyDescent="0.25"><c r="A352"><v>349</v></c><c r="B352"><f t="shared" si="5"/>&lt;v&gt;30&lt;/v&gt;&lt;/c&gt;&lt;c r=&quot;C352&quot; s=&quot;37&quot;&gt;&lt;f&gt;IF(A352&gt;&apos;Property Calculator&apos;!$B$70*12,0,IF(AND(&apos;Property Calculator&apos;!$B$72=1,B352&gt;&apos;Property Calculator&apos;!$B$69),&apos;Property Calculator&apos;!$B$73,&apos;Property Calculator&apos;!$B$65))</f><v>3.5000000000000003E-2</v></c><c r="D352" s="72"><f>IF(A352&gt;&apos;Property Calculator&apos;!$B$70*12,0,I351)</f><v>16838.588222087601</v></c><c r="E352" s="72"><f>IF(OR(A352&gt;&apos;Property Calculator&apos;!$B$70*12,D352&lt;=0),0,IF(AND(&apos;Property Calculator&apos;!$B$72=1,B352&gt;&apos;Property Calculator&apos;!$B$69),MIN(D352*C352/12+&apos;Property Calculator&apos;!$B$74/12,D352*(1+C352/12)),MIN(&apos;Property Calculator&apos;!$B$67,D352*(1+C352/12))))</f><v>1429.9603560928113</v></c><c r="F352" s="72"><f>IF(OR(A352&gt;&apos;Property Calculator&apos;!$B$70*12,D352&lt;=0),0,D352*C352/12)</f><v>49.112548981088842</v></c><c r="G352" s="72"><f>IF(OR(A352&gt;&apos;Property Calculator&apos;!$B$70*12,D352&lt;=0),0,MAX(0,MIN(D352,E352-F352)))</f><v>1380.8478071117224</v></c><c r="H352" s="126"><v>0</v></c><c r="I352" s="72"><f>IF(A352&gt;&apos;Property Calculator&apos;!$B$70*12,0,MAX(0,D352-G352-J352))</f><v>15457.740414975879</v></c><c r="J352" s="72"><f>IF(OR(A352&gt;&apos;Property Calculator&apos;!$B$70*12,D352&lt;=0),0,MIN(H352,MAX(0,D352-G352)))</f><v>0</v></c></row><row r="353" spans="1:10" x14ac:dyDescent="0.25"><c r="A353"><v>350</v></c><c r="B353"><f t="shared" si="5"/>&lt;v&gt;30&lt;/v&gt;&lt;/c&gt;&lt;c r=&quot;C353&quot; s=&quot;37&quot;&gt;&lt;f&gt;IF(A353&gt;&apos;Property Calculator&apos;!$B$70*12,0,IF(AND(&apos;Property Calculator&apos;!$B$72=1,B353&gt;&apos;Property Calculator&apos;!$B$69),&apos;Property Calculator&apos;!$B$73,&apos;Property Calculator&apos;!$B$65))</f><v>3.5000000000000003E-2</v></c><c r="D353" s="72"><f>IF(A353&gt;&apos;Property Calculator&apos;!$B$70*12,0,I352)</f><v>15457.740414975879</v></c><c r="E353" s="72"><f>IF(OR(A353&gt;&apos;Property Calculator&apos;!$B$70*12,D353&lt;=0),0,IF(AND(&apos;Property Calculator&apos;!$B$72=1,B353&gt;&apos;Property Calculator&apos;!$B$69),MIN(D353*C353/12+&apos;Property Calculator&apos;!$B$74/12,D353*(1+C353/12)),MIN(&apos;Property Calculator&apos;!$B$67,D353*(1+C353/12))))</f><v>1429.9603560928113</v></c><c r="F353" s="72"><f>IF(OR(A353&gt;&apos;Property Calculator&apos;!$B$70*12,D353&lt;=0),0,D353*C353/12)</f><v>45.085076210346323</v></c><c r="G353" s="72"><f>IF(OR(A353&gt;&apos;Property Calculator&apos;!$B$70*12,D353&lt;=0),0,MAX(0,MIN(D353,E353-F353)))</f><v>1384.8752798824648</v></c><c r="H353" s="126"><v>0</v></c><c r="I353" s="72"><f>IF(A353&gt;&apos;Property Calculator&apos;!$B$70*12,0,MAX(0,D353-G353-J353))</f><v>14072.865135093414</v></c><c r="J353" s="72"><f>IF(OR(A353&gt;&apos;Property Calculator&apos;!$B$70*12,D353&lt;=0),0,MIN(H353,MAX(0,D353-G353)))</f><v>0</v></c></row><row r="354" spans="1:10" x14ac:dyDescent="0.25"><c r="A354"><v>351</v></c><c r="B354"><f t="shared" si="5"/>&lt;v&gt;30&lt;/v&gt;&lt;/c&gt;&lt;c r=&quot;C354&quot; s=&quot;37&quot;&gt;&lt;f&gt;IF(A354&gt;&apos;Property Calculator&apos;!$B$70*12,0,IF(AND(&apos;Property Calculator&apos;!$B$72=1,B354&gt;&apos;Property Calculator&apos;!$B$69),&apos;Property Calculator&apos;!$B$73,&apos;Property Calculator&apos;!$B$65))</f><v>3.5000000000000003E-2</v></c><c r="D354" s="72"><f>IF(A354&gt;&apos;Property Calculator&apos;!$B$70*12,0,I353)</f><v>14072.865135093414</v></c><c r="E354" s="72"><f>IF(OR(A354&gt;&apos;Property Calculator&apos;!$B$70*12,D354&lt;=0),0,IF(AND(&apos;Property Calculator&apos;!$B$72=1,B354&gt;&apos;Property Calculator&apos;!$B$69),MIN(D354*C354/12+&apos;Property Calculator&apos;!$B$74/12,D354*(1+C354/12)),MIN(&apos;Property Calculator&apos;!$B$67,D354*(1+C354/12))))</f><v>1429.9603560928113</v></c><c r="F354" s="72"><f>IF(OR(A354&gt;&apos;Property Calculator&apos;!$B$70*12,D354&lt;=0),0,D354*C354/12)</f><v>41.045856644022464</v></c><c r="G354" s="72"><f>IF(OR(A354&gt;&apos;Property Calculator&apos;!$B$70*12,D354&lt;=0),0,MAX(0,MIN(D354,E354-F354)))</f><v>1388.9144994487888</v></c><c r="H354" s="126"><v>0</v></c><c r="I354" s="72"><f>IF(A354&gt;&apos;Property Calculator&apos;!$B$70*12,0,MAX(0,D354-G354-J354))</f><v>12683.950635644625</v></c><c r="J354" s="72"><f>IF(OR(A354&gt;&apos;Property Calculator&apos;!$B$70*12,D354&lt;=0),0,MIN(H354,MAX(0,D354-G354)))</f><v>0</v></c></row><row r="355" spans="1:10" x14ac:dyDescent="0.25"><c r="A355"><v>352</v></c><c r="B355"><f t="shared" si="5"/>&lt;v&gt;30&lt;/v&gt;&lt;/c&gt;&lt;c r=&quot;C355&quot; s=&quot;37&quot;&gt;&lt;f&gt;IF(A355&gt;&apos;Property Calculator&apos;!$B$70*12,0,IF(AND(&apos;Property Calculator&apos;!$B$72=1,B355&gt;&apos;Property Calculator&apos;!$B$69),&apos;Property Calculator&apos;!$B$73,&apos;Property Calculator&apos;!$B$65))</f><v>3.5000000000000003E-2</v></c><c r="D355" s="72"><f>IF(A355&gt;&apos;Property Calculator&apos;!$B$70*12,0,I354)</f><v>12683.950635644625</v></c><c r="E355" s="72"><f>IF(OR(A355&gt;&apos;Property Calculator&apos;!$B$70*12,D355&lt;=0),0,IF(AND(&apos;Property Calculator&apos;!$B$72=1,B355&gt;&apos;Property Calculator&apos;!$B$69),MIN(D355*C355/12+&apos;Property Calculator&apos;!$B$74/12,D355*(1+C355/12)),MIN(&apos;Property Calculator&apos;!$B$67,D355*(1+C355/12))))</f><v>1429.9603560928113</v></c><c r="F355" s="72"><f>IF(OR(A355&gt;&apos;Property Calculator&apos;!$B$70*12,D355&lt;=0),0,D355*C355/12)</f><v>36.994856020630159</v></c><c r="G355" s="72"><f>IF(OR(A355&gt;&apos;Property Calculator&apos;!$B$70*12,D355&lt;=0),0,MAX(0,MIN(D355,E355-F355)))</f><v>1392.9655000721812</v></c><c r="H355" s="126"><v>0</v></c><c r="I355" s="72"><f>IF(A355&gt;&apos;Property Calculator&apos;!$B$70*12,0,MAX(0,D355-G355-J355))</f><v>11290.985135572444</v></c><c r="J355" s="72"><f>IF(OR(A355&gt;&apos;Property Calculator&apos;!$B$70*12,D355&lt;=0),0,MIN(H355,MAX(0,D355-G355)))</f><v>0</v></c></row><row r="356" spans="1:10" x14ac:dyDescent="0.25"><c r="A356"><v>353</v></c><c r="B356"><f t="shared" si="5"/>&lt;v&gt;30&lt;/v&gt;&lt;/c&gt;&lt;c r=&quot;C356&quot; s=&quot;37&quot;&gt;&lt;f&gt;IF(A356&gt;&apos;Property Calculator&apos;!$B$70*12,0,IF(AND(&apos;Property Calculator&apos;!$B$72=1,B356&gt;&apos;Property Calculator&apos;!$B$69),&apos;Property Calculator&apos;!$B$73,&apos;Property Calculator&apos;!$B$65))</f><v>3.5000000000000003E-2</v></c><c r="D356" s="72"><f>IF(A356&gt;&apos;Property Calculator&apos;!$B$70*12,0,I355)</f><v>11290.985135572444</v></c><c r="E356" s="72"><f>IF(OR(A356&gt;&apos;Property Calculator&apos;!$B$70*12,D356&lt;=0),0,IF(AND(&apos;Property Calculator&apos;!$B$72=1,B356&gt;&apos;Property Calculator&apos;!$B$69),MIN(D356*C356/12+&apos;Property Calculator&apos;!$B$74/12,D356*(1+C356/12)),MIN(&apos;Property Calculator&apos;!$B$67,D356*(1+C356/12))))</f><v>1429.9603560928113</v></c><c r="F356" s="72"><f>IF(OR(A356&gt;&apos;Property Calculator&apos;!$B$70*12,D356&lt;=0),0,D356*C356/12)</f><v>32.932039978752961</v></c><c r="G356" s="72"><f>IF(OR(A356&gt;&apos;Property Calculator&apos;!$B$70*12,D356&lt;=0),0,MAX(0,MIN(D356,E356-F356)))</f><v>1397.0283161140583</v></c><c r="H356" s="126"><v>0</v></c><c r="I356" s="72"><f>IF(A356&gt;&apos;Property Calculator&apos;!$B$70*12,0,MAX(0,D356-G356-J356))</f><v>9893.9568194583862</v></c><c r="J356" s="72"><f>IF(OR(A356&gt;&apos;Property Calculator&apos;!$B$70*12,D356&lt;=0),0,MIN(H356,MAX(0,D356-G356)))</f><v>0</v></c></row><row r="357" spans="1:10" x14ac:dyDescent="0.25"><c r="A357"><v>354</v></c><c r="B357"><f t="shared" si="5"/>&lt;v&gt;30&lt;/v&gt;&lt;/c&gt;&lt;c r=&quot;C357&quot; s=&quot;37&quot;&gt;&lt;f&gt;IF(A357&gt;&apos;Property Calculator&apos;!$B$70*12,0,IF(AND(&apos;Property Calculator&apos;!$B$72=1,B357&gt;&apos;Property Calculator&apos;!$B$69),&apos;Property Calculator&apos;!$B$73,&apos;Property Calculator&apos;!$B$65))</f><v>3.5000000000000003E-2</v></c><c r="D357" s="72"><f>IF(A357&gt;&apos;Property Calculator&apos;!$B$70*12,0,I356)</f><v>9893.9568194583862</v></c><c r="E357" s="72"><f>IF(OR(A357&gt;&apos;Property Calculator&apos;!$B$70*12,D357&lt;=0),0,IF(AND(&apos;Property Calculator&apos;!$B$72=1,B357&gt;&apos;Property Calculator&apos;!$B$69),MIN(D357*C357/12+&apos;Property Calculator&apos;!$B$74/12,D357*(1+C357/12)),MIN(&apos;Property Calculator&apos;!$B$67,D357*(1+C357/12))))</f><v>1429.9603560928113</v></c><c r="F357" s="72"><f>IF(OR(A357&gt;&apos;Property Calculator&apos;!$B$70*12,D357&lt;=0),0,D357*C357/12)</f><v>28.857374056753628</v></c><c r="G357" s="72"><f>IF(OR(A357&gt;&apos;Property Calculator&apos;!$B$70*12,D357&lt;=0),0,MAX(0,MIN(D357,E357-F357)))</f><v>1401.1029820360577</v></c><c r="H357" s="126"><v>0</v></c><c r="I357" s="72"><f>IF(A357&gt;&apos;Property Calculator&apos;!$B$70*12,0,MAX(0,D357-G357-J357))</f><v>8492.8538374223281</v></c><c r="J357" s="72"><f>IF(OR(A357&gt;&apos;Property Calculator&apos;!$B$70*12,D357&lt;=0),0,MIN(H357,MAX(0,D357-G357)))</f><v>0</v></c></row><row r="358" spans="1:10" x14ac:dyDescent="0.25"><c r="A358"><v>355</v></c><c r="B358"><f t="shared" si="5"/>&lt;v&gt;30&lt;/v&gt;&lt;/c&gt;&lt;c r=&quot;C358&quot; s=&quot;37&quot;&gt;&lt;f&gt;IF(A358&gt;&apos;Property Calculator&apos;!$B$70*12,0,IF(AND(&apos;Property Calculator&apos;!$B$72=1,B358&gt;&apos;Property Calculator&apos;!$B$69),&apos;Property Calculator&apos;!$B$73,&apos;Property Calculator&apos;!$B$65))</f><v>3.5000000000000003E-2</v></c><c r="D358" s="72"><f>IF(A358&gt;&apos;Property Calculator&apos;!$B$70*12,0,I357)</f><v>8492.8538374223281</v></c><c r="E358" s="72"><f>IF(OR(A358&gt;&apos;Property Calculator&apos;!$B$70*12,D358&lt;=0),0,IF(AND(&apos;Property Calculator&apos;!$B$72=1,B358&gt;&apos;Property Calculator&apos;!$B$69),MIN(D358*C358/12+&apos;Property Calculator&apos;!$B$74/12,D358*(1+C358/12)),MIN(&apos;Property Calculator&apos;!$B$67,D358*(1+C358/12))))</f><v>1429.9603560928113</v></c><c r="F358" s="72"><f>IF(OR(A358&gt;&apos;Property Calculator&apos;!$B$70*12,D358&lt;=0),0,D358*C358/12)</f><v>24.770823692481795</v></c><c r="G358" s="72"><f>IF(OR(A358&gt;&apos;Property Calculator&apos;!$B$70*12,D358&lt;=0),0,MAX(0,MIN(D358,E358-F358)))</f><v>1405.1895324003294</v></c><c r="H358" s="126"><v>0</v></c><c r="I358" s="72"><f>IF(A358&gt;&apos;Property Calculator&apos;!$B$70*12,0,MAX(0,D358-G358-J358))</f><v>7087.6643050219991</v></c><c r="J358" s="72"><f>IF(OR(A358&gt;&apos;Property Calculator&apos;!$B$70*12,D358&lt;=0),0,MIN(H358,MAX(0,D358-G358)))</f><v>0</v></c></row><row r="359" spans="1:10" x14ac:dyDescent="0.25"><c r="A359"><v>356</v></c><c r="B359"><f t="shared" si="5"/>&lt;v&gt;30&lt;/v&gt;&lt;/c&gt;&lt;c r=&quot;C359&quot; s=&quot;37&quot;&gt;&lt;f&gt;IF(A359&gt;&apos;Property Calculator&apos;!$B$70*12,0,IF(AND(&apos;Property Calculator&apos;!$B$72=1,B359&gt;&apos;Property Calculator&apos;!$B$69),&apos;Property Calculator&apos;!$B$73,&apos;Property Calculator&apos;!$B$65))</f><v>3.5000000000000003E-2</v></c><c r="D359" s="72"><f>IF(A359&gt;&apos;Property Calculator&apos;!$B$70*12,0,I358)</f><v>7087.6643050219991</v></c><c r="E359" s="72"><f>IF(OR(A359&gt;&apos;Property Calculator&apos;!$B$70*12,D359&lt;=0),0,IF(AND(&apos;Property Calculator&apos;!$B$72=1,B359&gt;&apos;Property Calculator&apos;!$B$69),MIN(D359*C359/12+&apos;Property Calculator&apos;!$B$74/12,D359*(1+C359/12)),MIN(&apos;Property Calculator&apos;!$B$67,D359*(1+C359/12))))</f><v>1429.9603560928113</v></c><c r="F359" s="72"><f>IF(OR(A359&gt;&apos;Property Calculator&apos;!$B$70*12,D359&lt;=0),0,D359*C359/12)</f><v>20.672354222980832</v></c><c r="G359" s="72"><f>IF(OR(A359&gt;&apos;Property Calculator&apos;!$B$70*12,D359&lt;=0),0,MAX(0,MIN(D359,E359-F359)))</f><v>1409.2880018698304</v></c><c r="H359" s="126"><v>0</v></c><c r="I359" s="72"><f>IF(A359&gt;&apos;Property Calculator&apos;!$B$70*12,0,MAX(0,D359-G359-J359))</f><v>5678.3763031521685</v></c><c r="J359" s="72"><f>IF(OR(A359&gt;&apos;Property Calculator&apos;!$B$70*12,D359&lt;=0),0,MIN(H359,MAX(0,D359-G359)))</f><v>0</v></c></row><row r="360" spans="1:10" x14ac:dyDescent="0.25"><c r="A360"><v>357</v></c><c r="B360"><f t="shared" si="5"/>&lt;v&gt;30&lt;/v&gt;&lt;/c&gt;&lt;c r=&quot;C360&quot; s=&quot;37&quot;&gt;&lt;f&gt;IF(A360&gt;&apos;Property Calculator&apos;!$B$70*12,0,IF(AND(&apos;Property Calculator&apos;!$B$72=1,B360&gt;&apos;Property Calculator&apos;!$B$69),&apos;Property Calculator&apos;!$B$73,&apos;Property Calculator&apos;!$B$65))</f><v>3.5000000000000003E-2</v></c><c r="D360" s="72"><f>IF(A360&gt;&apos;Property Calculator&apos;!$B$70*12,0,I359)</f><v>5678.3763031521685</v></c><c r="E360" s="72"><f>IF(OR(A360&gt;&apos;Property Calculator&apos;!$B$70*12,D360&lt;=0),0,IF(AND(&apos;Property Calculator&apos;!$B$72=1,B360&gt;&apos;Property Calculator&apos;!$B$69),MIN(D360*C360/12+&apos;Property Calculator&apos;!$B$74/12,D360*(1+C360/12)),MIN(&apos;Property Calculator&apos;!$B$67,D360*(1+C360/12))))</f><v>1429.9603560928113</v></c><c r="F360" s="72"><f>IF(OR(A360&gt;&apos;Property Calculator&apos;!$B$70*12,D360&lt;=0),0,D360*C360/12)</f><v>16.561930884193824</v></c><c r="G360" s="72"><f>IF(OR(A360&gt;&apos;Property Calculator&apos;!$B$70*12,D360&lt;=0),0,MAX(0,MIN(D360,E360-F360)))</f><v>1413.3984252086175</v></c><c r="H360" s="126"><v>0</v></c><c r="I360" s="72"><f>IF(A360&gt;&apos;Property Calculator&apos;!$B$70*12,0,MAX(0,D360-G360-J360))</f><v>4264.977877943551</v></c><c r="J360" s="72"><f>IF(OR(A360&gt;&apos;Property Calculator&apos;!$B$70*12,D360&lt;=0),0,MIN(H360,MAX(0,D360-G360)))</f><v>0</v></c></row><row r="361" spans="1:10" x14ac:dyDescent="0.25"><c r="A361"><v>358</v></c><c r="B361"><f t="shared" si="5"/>&lt;v&gt;30&lt;/v&gt;&lt;/c&gt;&lt;c r=&quot;C361&quot; s=&quot;37&quot;&gt;&lt;f&gt;IF(A361&gt;&apos;Property Calculator&apos;!$B$70*12,0,IF(AND(&apos;Property Calculator&apos;!$B$72=1,B361&gt;&apos;Property Calculator&apos;!$B$69),&apos;Property Calculator&apos;!$B$73,&apos;Property Calculator&apos;!$B$65))</f><v>3.5000000000000003E-2</v></c><c r="D361" s="72"><f>IF(A361&gt;&apos;Property Calculator&apos;!$B$70*12,0,I360)</f><v>4264.977877943551</v></c><c r="E361" s="72"><f>IF(OR(A361&gt;&apos;Property Calculator&apos;!$B$70*12,D361&lt;=0),0,IF(AND(&apos;Property Calculator&apos;!$B$72=1,B361&gt;&apos;Property Calculator&apos;!$B$69),MIN(D361*C361/12+&apos;Property Calculator&apos;!$B$74/12,D361*(1+C361/12)),MIN(&apos;Property Calculator&apos;!$B$67,D361*(1+C361/12))))</f><v>1429.9603560928113</v></c><c r="F361" s="72"><f>IF(OR(A361&gt;&apos;Property Calculator&apos;!$B$70*12,D361&lt;=0),0,D361*C361/12)</f><v>12.439518810668693</v></c><c r="G361" s="72"><f>IF(OR(A361&gt;&apos;Property Calculator&apos;!$B$70*12,D361&lt;=0),0,MAX(0,MIN(D361,E361-F361)))</f><v>1417.5208372821426</v></c><c r="H361" s="126"><v>0</v></c><c r="I361" s="72"><f>IF(A361&gt;&apos;Property Calculator&apos;!$B$70*12,0,MAX(0,D361-G361-J361))</f><v>2847.4570406614084</v></c><c r="J361" s="72"><f>IF(OR(A361&gt;&apos;Property Calculator&apos;!$B$70*12,D361&lt;=0),0,MIN(H361,MAX(0,D361-G361)))</f><v>0</v></c></row><row r="362" spans="1:10" x14ac:dyDescent="0.25"><c r="A362"><v>359</v></c><c r="B362"><f t="shared" si="5"/>&lt;v&gt;30&lt;/v&gt;&lt;/c&gt;&lt;c r=&quot;C362&quot; s=&quot;37&quot;&gt;&lt;f&gt;IF(A362&gt;&apos;Property Calculator&apos;!$B$70*12,0,IF(AND(&apos;Property Calculator&apos;!$B$72=1,B362&gt;&apos;Property Calculator&apos;!$B$69),&apos;Property Calculator&apos;!$B$73,&apos;Property Calculator&apos;!$B$65))</f><v>3.5000000000000003E-2</v></c><c r="D362" s="72"><f>IF(A362&gt;&apos;Property Calculator&apos;!$B$70*12,0,I361)</f><v>2847.4570406614084</v></c><c r="E362" s="72"><f>IF(OR(A362&gt;&apos;Property Calculator&apos;!$B$70*12,D362&lt;=0),0,IF(AND(&apos;Property Calculator&apos;!$B$72=1,B362&gt;&apos;Property Calculator&apos;!$B$69),MIN(D362*C362/12+&apos;Property Calculator&apos;!$B$74/12,D362*(1+C362/12)),MIN(&apos;Property Calculator&apos;!$B$67,D362*(1+C362/12))))</f><v>1429.9603560928113</v></c><c r="F362" s="72"><f>IF(OR(A362&gt;&apos;Property Calculator&apos;!$B$70*12,D362&lt;=0),0,D362*C362/12)</f><v>8.3050830352624416</v></c><c r="G362" s="72"><f>IF(OR(A362&gt;&apos;Property Calculator&apos;!$B$70*12,D362&lt;=0),0,MAX(0,MIN(D362,E362-F362)))</f><v>1421.6552730575488</v></c><c r="H362" s="126"><v>0</v></c><c r="I362" s="72"><f>IF(A362&gt;&apos;Property Calculator&apos;!$B$70*12,0,MAX(0,D362-G362-J362))</f><v>1425.8017676038596</v></c><c r="J362" s="72"><f>IF(OR(A362&gt;&apos;Property Calculator&apos;!$B$70*12,D362&lt;=0),0,MIN(H362,MAX(0,D362-G362)))</f><v>0</v></c></row><row r="363" spans="1:10" x14ac:dyDescent="0.25"><c r="A363"><v>360</v></c><c r="B363"><f t="shared" si="5"/>&lt;v&gt;30&lt;/v&gt;&lt;/c&gt;&lt;c r=&quot;C363&quot; s=&quot;37&quot;&gt;&lt;f&gt;IF(A363&gt;&apos;Property Calculator&apos;!$B$70*12,0,IF(AND(&apos;Property Calculator&apos;!$B$72=1,B363&gt;&apos;Property Calculator&apos;!$B$69),&apos;Property Calculator&apos;!$B$73,&apos;Property Calculator&apos;!$B$65))</f><v>3.5000000000000003E-2</v></c><c r="D363" s="72"><f>IF(A363&gt;&apos;Property Calculator&apos;!$B$70*12,0,I362)</f><v>1425.8017676038596</v></c><c r="E363" s="72"><f>IF(OR(A363&gt;&apos;Property Calculator&apos;!$B$70*12,D363&lt;=0),0,IF(AND(&apos;Property Calculator&apos;!$B$72=1,B363&gt;&apos;Property Calculator&apos;!$B$69),MIN(D363*C363/12+&apos;Property Calculator&apos;!$B$74/12,D363*(1+C363/12)),MIN(&apos;Property Calculator&apos;!$B$67,D363*(1+C363/12))))</f><v>1429.9603560927042</v></c><c r="F363" s="72"><f>IF(OR(A363&gt;&apos;Property Calculator&apos;!$B$70*12,D363&lt;=0),0,D363*C363/12)</f><v>4.1585884888445905</v></c><c r="G363" s="72"><f>IF(OR(A363&gt;&apos;Property Calculator&apos;!$B$70*12,D363&lt;=0),0,MAX(0,MIN(D363,E363-F363)))</f><v>1425.8017676038596</v></c><c r="H363" s="126"><v>0</v></c><c r="I363" s="72"><f>IF(A363&gt;&apos;Property Calculator&apos;!$B$70*12,0,MAX(0,D363-G363-J363))</f><v>0</v></c><c r="J363" s="72"><f>IF(OR(A363&gt;&apos;Property Calculator&apos;!$B$70*12,D363&lt;=0),0,MIN(H363,MAX(0,D363-G363)))</f><v>0</v></c></row><row r="364" spans="1:10" x14ac:dyDescent="0.25"><c r="A364"><v>361</v></c><c r="B364"><f t="shared" si="5"/>&lt;v&gt;31&lt;/v&gt;&lt;/c&gt;&lt;c r=&quot;C364&quot; s=&quot;37&quot;&gt;&lt;f&gt;IF(A364&gt;&apos;Property Calculator&apos;!$B$70*12,0,IF(AND(&apos;Property Calculator&apos;!$B$72=1,B364&gt;&apos;Property Calculator&apos;!$B$69),&apos;Property Calculator&apos;!$B$73,&apos;Property Calculator&apos;!$B$65))</f><v>0</v></c><c r="D364" s="72"><f>IF(A364&gt;&apos;Property Calculator&apos;!$B$70*12,0,I363)</f><v>0</v></c><c r="E364" s="72"><f>IF(OR(A364&gt;&apos;Property Calculator&apos;!$B$70*12,D364&lt;=0),0,IF(AND(&apos;Property Calculator&apos;!$B$72=1,B364&gt;&apos;Property Calculator&apos;!$B$69),MIN(D364*C364/12+&apos;Property Calculator&apos;!$B$74/12,D364*(1+C364/12)),MIN(&apos;Property Calculator&apos;!$B$67,D364*(1+C364/12))))</f><v>0</v></c><c r="F364" s="72"><f>IF(OR(A364&gt;&apos;Property Calculator&apos;!$B$70*12,D364&lt;=0),0,D364*C364/12)</f><v>0</v></c><c r="G364" s="72"><f>IF(OR(A364&gt;&apos;Property Calculator&apos;!$B$70*12,D364&lt;=0),0,MAX(0,MIN(D364,E364-F364)))</f><v>0</v></c><c r="H364" s="126"><v>0</v></c><c r="I364" s="72"><f>IF(A364&gt;&apos;Property Calculator&apos;!$B$70*12,0,MAX(0,D364-G364-J364))</f><v>0</v></c><c r="J364" s="72"><f>IF(OR(A364&gt;&apos;Property Calculator&apos;!$B$70*12,D364&lt;=0),0,MIN(H364,MAX(0,D364-G364)))</f><v>0</v></c></row><row r="365" spans="1:10" x14ac:dyDescent="0.25"><c r="A365"><v>362</v></c><c r="B365"><f t="shared" si="5"/>&lt;v&gt;31&lt;/v&gt;&lt;/c&gt;&lt;c r=&quot;C365&quot; s=&quot;37&quot;&gt;&lt;f&gt;IF(A365&gt;&apos;Property Calculator&apos;!$B$70*12,0,IF(AND(&apos;Property Calculator&apos;!$B$72=1,B365&gt;&apos;Property Calculator&apos;!$B$69),&apos;Property Calculator&apos;!$B$73,&apos;Property Calculator&apos;!$B$65))</f><v>0</v></c><c r="D365" s="72"><f>IF(A365&gt;&apos;Property Calculator&apos;!$B$70*12,0,I364)</f><v>0</v></c><c r="E365" s="72"><f>IF(OR(A365&gt;&apos;Property Calculator&apos;!$B$70*12,D365&lt;=0),0,IF(AND(&apos;Property Calculator&apos;!$B$72=1,B365&gt;&apos;Property Calculator&apos;!$B$69),MIN(D365*C365/12+&apos;Property Calculator&apos;!$B$74/12,D365*(1+C365/12)),MIN(&apos;Property Calculator&apos;!$B$67,D365*(1+C365/12))))</f><v>0</v></c><c r="F365" s="72"><f>IF(OR(A365&gt;&apos;Property Calculator&apos;!$B$70*12,D365&lt;=0),0,D365*C365/12)</f><v>0</v></c><c r="G365" s="72"><f>IF(OR(A365&gt;&apos;Property Calculator&apos;!$B$70*12,D365&lt;=0),0,MAX(0,MIN(D365,E365-F365)))</f><v>0</v></c><c r="H365" s="126"><v>0</v></c><c r="I365" s="72"><f>IF(A365&gt;&apos;Property Calculator&apos;!$B$70*12,0,MAX(0,D365-G365-J365))</f><v>0</v></c><c r="J365" s="72"><f>IF(OR(A365&gt;&apos;Property Calculator&apos;!$B$70*12,D365&lt;=0),0,MIN(H365,MAX(0,D365-G365)))</f><v>0</v></c></row><row r="366" spans="1:10" x14ac:dyDescent="0.25"><c r="A366"><v>363</v></c><c r="B366"><f t="shared" si="5"/>&lt;v&gt;31&lt;/v&gt;&lt;/c&gt;&lt;c r=&quot;C366&quot; s=&quot;37&quot;&gt;&lt;f&gt;IF(A366&gt;&apos;Property Calculator&apos;!$B$70*12,0,IF(AND(&apos;Property Calculator&apos;!$B$72=1,B366&gt;&apos;Property Calculator&apos;!$B$69),&apos;Property Calculator&apos;!$B$73,&apos;Property Calculator&apos;!$B$65))</f><v>0</v></c><c r="D366" s="72"><f>IF(A366&gt;&apos;Property Calculator&apos;!$B$70*12,0,I365)</f><v>0</v></c><c r="E366" s="72"><f>IF(OR(A366&gt;&apos;Property Calculator&apos;!$B$70*12,D366&lt;=0),0,IF(AND(&apos;Property Calculator&apos;!$B$72=1,B366&gt;&apos;Property Calculator&apos;!$B$69),MIN(D366*C366/12+&apos;Property Calculator&apos;!$B$74/12,D366*(1+C366/12)),MIN(&apos;Property Calculator&apos;!$B$67,D366*(1+C366/12))))</f><v>0</v></c><c r="F366" s="72"><f>IF(OR(A366&gt;&apos;Property Calculator&apos;!$B$70*12,D366&lt;=0),0,D366*C366/12)</f><v>0</v></c><c r="G366" s="72"><f>IF(OR(A366&gt;&apos;Property Calculator&apos;!$B$70*12,D366&lt;=0),0,MAX(0,MIN(D366,E366-F366)))</f><v>0</v></c><c r="H366" s="126"><v>0</v></c><c r="I366" s="72"><f>IF(A366&gt;&apos;Property Calculator&apos;!$B$70*12,0,MAX(0,D366-G366-J366))</f><v>0</v></c><c r="J366" s="72"><f>IF(OR(A366&gt;&apos;Property Calculator&apos;!$B$70*12,D366&lt;=0),0,MIN(H366,MAX(0,D366-G366)))</f><v>0</v></c></row><row r="367" spans="1:10" x14ac:dyDescent="0.25"><c r="A367"><v>364</v></c><c r="B367"><f t="shared" si="5"/>&lt;v&gt;31&lt;/v&gt;&lt;/c&gt;&lt;c r=&quot;C367&quot; s=&quot;37&quot;&gt;&lt;f&gt;IF(A367&gt;&apos;Property Calculator&apos;!$B$70*12,0,IF(AND(&apos;Property Calculator&apos;!$B$72=1,B367&gt;&apos;Property Calculator&apos;!$B$69),&apos;Property Calculator&apos;!$B$73,&apos;Property Calculator&apos;!$B$65))</f><v>0</v></c><c r="D367" s="72"><f>IF(A367&gt;&apos;Property Calculator&apos;!$B$70*12,0,I366)</f><v>0</v></c><c r="E367" s="72"><f>IF(OR(A367&gt;&apos;Property Calculator&apos;!$B$70*12,D367&lt;=0),0,IF(AND(&apos;Property Calculator&apos;!$B$72=1,B367&gt;&apos;Property Calculator&apos;!$B$69),MIN(D367*C367/12+&apos;Property Calculator&apos;!$B$74/12,D367*(1+C367/12)),MIN(&apos;Property Calculator&apos;!$B$67,D367*(1+C367/12))))</f><v>0</v></c><c r="F367" s="72"><f>IF(OR(A367&gt;&apos;Property Calculator&apos;!$B$70*12,D367&lt;=0),0,D367*C367/12)</f><v>0</v></c><c r="G367" s="72"><f>IF(OR(A367&gt;&apos;Property Calculator&apos;!$B$70*12,D367&lt;=0),0,MAX(0,MIN(D367,E367-F367)))</f><v>0</v></c><c r="H367" s="126"><v>0</v></c><c r="I367" s="72"><f>IF(A367&gt;&apos;Property Calculator&apos;!$B$70*12,0,MAX(0,D367-G367-J367))</f><v>0</v></c><c r="J367" s="72"><f>IF(OR(A367&gt;&apos;Property Calculator&apos;!$B$70*12,D367&lt;=0),0,MIN(H367,MAX(0,D367-G367)))</f><v>0</v></c></row><row r="368" spans="1:10" x14ac:dyDescent="0.25"><c r="A368"><v>365</v></c><c r="B368"><f t="shared" si="5"/>&lt;v&gt;31&lt;/v&gt;&lt;/c&gt;&lt;c r=&quot;C368&quot; s=&quot;37&quot;&gt;&lt;f&gt;IF(A368&gt;&apos;Property Calculator&apos;!$B$70*12,0,IF(AND(&apos;Property Calculator&apos;!$B$72=1,B368&gt;&apos;Property Calculator&apos;!$B$69),&apos;Property Calculator&apos;!$B$73,&apos;Property Calculator&apos;!$B$65))</f><v>0</v></c><c r="D368" s="72"><f>IF(A368&gt;&apos;Property Calculator&apos;!$B$70*12,0,I367)</f><v>0</v></c><c r="E368" s="72"><f>IF(OR(A368&gt;&apos;Property Calculator&apos;!$B$70*12,D368&lt;=0),0,IF(AND(&apos;Property Calculator&apos;!$B$72=1,B368&gt;&apos;Property Calculator&apos;!$B$69),MIN(D368*C368/12+&apos;Property Calculator&apos;!$B$74/12,D368*(1+C368/12)),MIN(&apos;Property Calculator&apos;!$B$67,D368*(1+C368/12))))</f><v>0</v></c><c r="F368" s="72"><f>IF(OR(A368&gt;&apos;Property Calculator&apos;!$B$70*12,D368&lt;=0),0,D368*C368/12)</f><v>0</v></c><c r="G368" s="72"><f>IF(OR(A368&gt;&apos;Property Calculator&apos;!$B$70*12,D368&lt;=0),0,MAX(0,MIN(D368,E368-F368)))</f><v>0</v></c><c r="H368" s="126"><v>0</v></c><c r="I368" s="72"><f>IF(A368&gt;&apos;Property Calculator&apos;!$B$70*12,0,MAX(0,D368-G368-J368))</f><v>0</v></c><c r="J368" s="72"><f>IF(OR(A368&gt;&apos;Property Calculator&apos;!$B$70*12,D368&lt;=0),0,MIN(H368,MAX(0,D368-G368)))</f><v>0</v></c></row><row r="369" spans="1:10" x14ac:dyDescent="0.25"><c r="A369"><v>366</v></c><c r="B369"><f t="shared" si="5"/>&lt;v&gt;31&lt;/v&gt;&lt;/c&gt;&lt;c r=&quot;C369&quot; s=&quot;37&quot;&gt;&lt;f&gt;IF(A369&gt;&apos;Property Calculator&apos;!$B$70*12,0,IF(AND(&apos;Property Calculator&apos;!$B$72=1,B369&gt;&apos;Property Calculator&apos;!$B$69),&apos;Property Calculator&apos;!$B$73,&apos;Property Calculator&apos;!$B$65))</f><v>0</v></c><c r="D369" s="72"><f>IF(A369&gt;&apos;Property Calculator&apos;!$B$70*12,0,I368)</f><v>0</v></c><c r="E369" s="72"><f>IF(OR(A369&gt;&apos;Property Calculator&apos;!$B$70*12,D369&lt;=0),0,IF(AND(&apos;Property Calculator&apos;!$B$72=1,B369&gt;&apos;Property Calculator&apos;!$B$69),MIN(D369*C369/12+&apos;Property Calculator&apos;!$B$74/12,D369*(1+C369/12)),MIN(&apos;Property Calculator&apos;!$B$67,D369*(1+C369/12))))</f><v>0</v></c><c r="F369" s="72"><f>IF(OR(A369&gt;&apos;Property Calculator&apos;!$B$70*12,D369&lt;=0),0,D369*C369/12)</f><v>0</v></c><c r="G369" s="72"><f>IF(OR(A369&gt;&apos;Property Calculator&apos;!$B$70*12,D369&lt;=0),0,MAX(0,MIN(D369,E369-F369)))</f><v>0</v></c><c r="H369" s="126"><v>0</v></c><c r="I369" s="72"><f>IF(A369&gt;&apos;Property Calculator&apos;!$B$70*12,0,MAX(0,D369-G369-J369))</f><v>0</v></c><c r="J369" s="72"><f>IF(OR(A369&gt;&apos;Property Calculator&apos;!$B$70*12,D369&lt;=0),0,MIN(H369,MAX(0,D369-G369)))</f><v>0</v></c></row><row r="370" spans="1:10" x14ac:dyDescent="0.25"><c r="A370"><v>367</v></c><c r="B370"><f t="shared" si="5"/>&lt;v&gt;31&lt;/v&gt;&lt;/c&gt;&lt;c r=&quot;C370&quot; s=&quot;37&quot;&gt;&lt;f&gt;IF(A370&gt;&apos;Property Calculator&apos;!$B$70*12,0,IF(AND(&apos;Property Calculator&apos;!$B$72=1,B370&gt;&apos;Property Calculator&apos;!$B$69),&apos;Property Calculator&apos;!$B$73,&apos;Property Calculator&apos;!$B$65))</f><v>0</v></c><c r="D370" s="72"><f>IF(A370&gt;&apos;Property Calculator&apos;!$B$70*12,0,I369)</f><v>0</v></c><c r="E370" s="72"><f>IF(OR(A370&gt;&apos;Property Calculator&apos;!$B$70*12,D370&lt;=0),0,IF(AND(&apos;Property Calculator&apos;!$B$72=1,B370&gt;&apos;Property Calculator&apos;!$B$69),MIN(D370*C370/12+&apos;Property Calculator&apos;!$B$74/12,D370*(1+C370/12)),MIN(&apos;Property Calculator&apos;!$B$67,D370*(1+C370/12))))</f><v>0</v></c><c r="F370" s="72"><f>IF(OR(A370&gt;&apos;Property Calculator&apos;!$B$70*12,D370&lt;=0),0,D370*C370/12)</f><v>0</v></c><c r="G370" s="72"><f>IF(OR(A370&gt;&apos;Property Calculator&apos;!$B$70*12,D370&lt;=0),0,MAX(0,MIN(D370,E370-F370)))</f><v>0</v></c><c r="H370" s="126"><v>0</v></c><c r="I370" s="72"><f>IF(A370&gt;&apos;Property Calculator&apos;!$B$70*12,0,MAX(0,D370-G370-J370))</f><v>0</v></c><c r="J370" s="72"><f>IF(OR(A370&gt;&apos;Property Calculator&apos;!$B$70*12,D370&lt;=0),0,MIN(H370,MAX(0,D370-G370)))</f><v>0</v></c></row><row r="371" spans="1:10" x14ac:dyDescent="0.25"><c r="A371"><v>368</v></c><c r="B371"><f t="shared" si="5"/>&lt;v&gt;31&lt;/v&gt;&lt;/c&gt;&lt;c r=&quot;C371&quot; s=&quot;37&quot;&gt;&lt;f&gt;IF(A371&gt;&apos;Property Calculator&apos;!$B$70*12,0,IF(AND(&apos;Property Calculator&apos;!$B$72=1,B371&gt;&apos;Property Calculator&apos;!$B$69),&apos;Property Calculator&apos;!$B$73,&apos;Property Calculator&apos;!$B$65))</f><v>0</v></c><c r="D371" s="72"><f>IF(A371&gt;&apos;Property Calculator&apos;!$B$70*12,0,I370)</f><v>0</v></c><c r="E371" s="72"><f>IF(OR(A371&gt;&apos;Property Calculator&apos;!$B$70*12,D371&lt;=0),0,IF(AND(&apos;Property Calculator&apos;!$B$72=1,B371&gt;&apos;Property Calculator&apos;!$B$69),MIN(D371*C371/12+&apos;Property Calculator&apos;!$B$74/12,D371*(1+C371/12)),MIN(&apos;Property Calculator&apos;!$B$67,D371*(1+C371/12))))</f><v>0</v></c><c r="F371" s="72"><f>IF(OR(A371&gt;&apos;Property Calculator&apos;!$B$70*12,D371&lt;=0),0,D371*C371/12)</f><v>0</v></c><c r="G371" s="72"><f>IF(OR(A371&gt;&apos;Property Calculator&apos;!$B$70*12,D371&lt;=0),0,MAX(0,MIN(D371,E371-F371)))</f><v>0</v></c><c r="H371" s="126"><v>0</v></c><c r="I371" s="72"><f>IF(A371&gt;&apos;Property Calculator&apos;!$B$70*12,0,MAX(0,D371-G371-J371))</f><v>0</v></c><c r="J371" s="72"><f>IF(OR(A371&gt;&apos;Property Calculator&apos;!$B$70*12,D371&lt;=0),0,MIN(H371,MAX(0,D371-G371)))</f><v>0</v></c></row><row r="372" spans="1:10" x14ac:dyDescent="0.25"><c r="A372"><v>369</v></c><c r="B372"><f t="shared" si="5"/>&lt;v&gt;31&lt;/v&gt;&lt;/c&gt;&lt;c r=&quot;C372&quot; s=&quot;37&quot;&gt;&lt;f&gt;IF(A372&gt;&apos;Property Calculator&apos;!$B$70*12,0,IF(AND(&apos;Property Calculator&apos;!$B$72=1,B372&gt;&apos;Property Calculator&apos;!$B$69),&apos;Property Calculator&apos;!$B$73,&apos;Property Calculator&apos;!$B$65))</f><v>0</v></c><c r="D372" s="72"><f>IF(A372&gt;&apos;Property Calculator&apos;!$B$70*12,0,I371)</f><v>0</v></c><c r="E372" s="72"><f>IF(OR(A372&gt;&apos;Property Calculator&apos;!$B$70*12,D372&lt;=0),0,IF(AND(&apos;Property Calculator&apos;!$B$72=1,B372&gt;&apos;Property Calculator&apos;!$B$69),MIN(D372*C372/12+&apos;Property Calculator&apos;!$B$74/12,D372*(1+C372/12)),MIN(&apos;Property Calculator&apos;!$B$67,D372*(1+C372/12))))</f><v>0</v></c><c r="F372" s="72"><f>IF(OR(A372&gt;&apos;Property Calculator&apos;!$B$70*12,D372&lt;=0),0,D372*C372/12)</f><v>0</v></c><c r="G372" s="72"><f>IF(OR(A372&gt;&apos;Property Calculator&apos;!$B$70*12,D372&lt;=0),0,MAX(0,MIN(D372,E372-F372)))</f><v>0</v></c><c r="H372" s="126"><v>0</v></c><c r="I372" s="72"><f>IF(A372&gt;&apos;Property Calculator&apos;!$B$70*12,0,MAX(0,D372-G372-J372))</f><v>0</v></c><c r="J372" s="72"><f>IF(OR(A372&gt;&apos;Property Calculator&apos;!$B$70*12,D372&lt;=0),0,MIN(H372,MAX(0,D372-G372)))</f><v>0</v></c></row><row r="373" spans="1:10" x14ac:dyDescent="0.25"><c r="A373"><v>370</v></c><c r="B373"><f t="shared" si="5"/>&lt;v&gt;31&lt;/v&gt;&lt;/c&gt;&lt;c r=&quot;C373&quot; s=&quot;37&quot;&gt;&lt;f&gt;IF(A373&gt;&apos;Property Calculator&apos;!$B$70*12,0,IF(AND(&apos;Property Calculator&apos;!$B$72=1,B373&gt;&apos;Property Calculator&apos;!$B$69),&apos;Property Calculator&apos;!$B$73,&apos;Property Calculator&apos;!$B$65))</f><v>0</v></c><c r="D373" s="72"><f>IF(A373&gt;&apos;Property Calculator&apos;!$B$70*12,0,I372)</f><v>0</v></c><c r="E373" s="72"><f>IF(OR(A373&gt;&apos;Property Calculator&apos;!$B$70*12,D373&lt;=0),0,IF(AND(&apos;Property Calculator&apos;!$B$72=1,B373&gt;&apos;Property Calculator&apos;!$B$69),MIN(D373*C373/12+&apos;Property Calculator&apos;!$B$74/12,D373*(1+C373/12)),MIN(&apos;Property Calculator&apos;!$B$67,D373*(1+C373/12))))</f><v>0</v></c><c r="F373" s="72"><f>IF(OR(A373&gt;&apos;Property Calculator&apos;!$B$70*12,D373&lt;=0),0,D373*C373/12)</f><v>0</v></c><c r="G373" s="72"><f>IF(OR(A373&gt;&apos;Property Calculator&apos;!$B$70*12,D373&lt;=0),0,MAX(0,MIN(D373,E373-F373)))</f><v>0</v></c><c r="H373" s="126"><v>0</v></c><c r="I373" s="72"><f>IF(A373&gt;&apos;Property Calculator&apos;!$B$70*12,0,MAX(0,D373-G373-J373))</f><v>0</v></c><c r="J373" s="72"><f>IF(OR(A373&gt;&apos;Property Calculator&apos;!$B$70*12,D373&lt;=0),0,MIN(H373,MAX(0,D373-G373)))</f><v>0</v></c></row><row r="374" spans="1:10" x14ac:dyDescent="0.25"><c r="A374"><v>371</v></c><c r="B374"><f t="shared" si="5"/>&lt;v&gt;31&lt;/v&gt;&lt;/c&gt;&lt;c r=&quot;C374&quot; s=&quot;37&quot;&gt;&lt;f&gt;IF(A374&gt;&apos;Property Calculator&apos;!$B$70*12,0,IF(AND(&apos;Property Calculator&apos;!$B$72=1,B374&gt;&apos;Property Calculator&apos;!$B$69),&apos;Property Calculator&apos;!$B$73,&apos;Property Calculator&apos;!$B$65))</f><v>0</v></c><c r="D374" s="72"><f>IF(A374&gt;&apos;Property Calculator&apos;!$B$70*12,0,I373)</f><v>0</v></c><c r="E374" s="72"><f>IF(OR(A374&gt;&apos;Property Calculator&apos;!$B$70*12,D374&lt;=0),0,IF(AND(&apos;Property Calculator&apos;!$B$72=1,B374&gt;&apos;Property Calculator&apos;!$B$69),MIN(D374*C374/12+&apos;Property Calculator&apos;!$B$74/12,D374*(1+C374/12)),MIN(&apos;Property Calculator&apos;!$B$67,D374*(1+C374/12))))</f><v>0</v></c><c r="F374" s="72"><f>IF(OR(A374&gt;&apos;Property Calculator&apos;!$B$70*12,D374&lt;=0),0,D374*C374/12)</f><v>0</v></c><c r="G374" s="72"><f>IF(OR(A374&gt;&apos;Property Calculator&apos;!$B$70*12,D374&lt;=0),0,MAX(0,MIN(D374,E374-F374)))</f><v>0</v></c><c r="H374" s="126"><v>0</v></c><c r="I374" s="72"><f>IF(A374&gt;&apos;Property Calculator&apos;!$B$70*12,0,MAX(0,D374-G374-J374))</f><v>0</v></c><c r="J374" s="72"><f>IF(OR(A374&gt;&apos;Property Calculator&apos;!$B$70*12,D374&lt;=0),0,MIN(H374,MAX(0,D374-G374)))</f><v>0</v></c></row><row r="375" spans="1:10" x14ac:dyDescent="0.25"><c r="A375"><v>372</v></c><c r="B375"><f t="shared" si="5"/>&lt;v&gt;31&lt;/v&gt;&lt;/c&gt;&lt;c r=&quot;C375&quot; s=&quot;37&quot;&gt;&lt;f&gt;IF(A375&gt;&apos;Property Calculator&apos;!$B$70*12,0,IF(AND(&apos;Property Calculator&apos;!$B$72=1,B375&gt;&apos;Property Calculator&apos;!$B$69),&apos;Property Calculator&apos;!$B$73,&apos;Property Calculator&apos;!$B$65))</f><v>0</v></c><c r="D375" s="72"><f>IF(A375&gt;&apos;Property Calculator&apos;!$B$70*12,0,I374)</f><v>0</v></c><c r="E375" s="72"><f>IF(OR(A375&gt;&apos;Property Calculator&apos;!$B$70*12,D375&lt;=0),0,IF(AND(&apos;Property Calculator&apos;!$B$72=1,B375&gt;&apos;Property Calculator&apos;!$B$69),MIN(D375*C375/12+&apos;Property Calculator&apos;!$B$74/12,D375*(1+C375/12)),MIN(&apos;Property Calculator&apos;!$B$67,D375*(1+C375/12))))</f><v>0</v></c><c r="F375" s="72"><f>IF(OR(A375&gt;&apos;Property Calculator&apos;!$B$70*12,D375&lt;=0),0,D375*C375/12)</f><v>0</v></c><c r="G375" s="72"><f>IF(OR(A375&gt;&apos;Property Calculator&apos;!$B$70*12,D375&lt;=0),0,MAX(0,MIN(D375,E375-F375)))</f><v>0</v></c><c r="H375" s="126"><v>0</v></c><c r="I375" s="72"><f>IF(A375&gt;&apos;Property Calculator&apos;!$B$70*12,0,MAX(0,D375-G375-J375))</f><v>0</v></c><c r="J375" s="72"><f>IF(OR(A375&gt;&apos;Property Calculator&apos;!$B$70*12,D375&lt;=0),0,MIN(H375,MAX(0,D375-G375)))</f><v>0</v></c></row><row r="376" spans="1:10" x14ac:dyDescent="0.25"><c r="A376"><v>373</v></c><c r="B376"><f t="shared" si="5"/>&lt;v&gt;32&lt;/v&gt;&lt;/c&gt;&lt;c r=&quot;C376&quot; s=&quot;37&quot;&gt;&lt;f&gt;IF(A376&gt;&apos;Property Calculator&apos;!$B$70*12,0,IF(AND(&apos;Property Calculator&apos;!$B$72=1,B376&gt;&apos;Property Calculator&apos;!$B$69),&apos;Property Calculator&apos;!$B$73,&apos;Property Calculator&apos;!$B$65))</f><v>0</v></c><c r="D376" s="72"><f>IF(A376&gt;&apos;Property Calculator&apos;!$B$70*12,0,I375)</f><v>0</v></c><c r="E376" s="72"><f>IF(OR(A376&gt;&apos;Property Calculator&apos;!$B$70*12,D376&lt;=0),0,IF(AND(&apos;Property Calculator&apos;!$B$72=1,B376&gt;&apos;Property Calculator&apos;!$B$69),MIN(D376*C376/12+&apos;Property Calculator&apos;!$B$74/12,D376*(1+C376/12)),MIN(&apos;Property Calculator&apos;!$B$67,D376*(1+C376/12))))</f><v>0</v></c><c r="F376" s="72"><f>IF(OR(A376&gt;&apos;Property Calculator&apos;!$B$70*12,D376&lt;=0),0,D376*C376/12)</f><v>0</v></c><c r="G376" s="72"><f>IF(OR(A376&gt;&apos;Property Calculator&apos;!$B$70*12,D376&lt;=0),0,MAX(0,MIN(D376,E376-F376)))</f><v>0</v></c><c r="H376" s="126"><v>0</v></c><c r="I376" s="72"><f>IF(A376&gt;&apos;Property Calculator&apos;!$B$70*12,0,MAX(0,D376-G376-J376))</f><v>0</v></c><c r="J376" s="72"><f>IF(OR(A376&gt;&apos;Property Calculator&apos;!$B$70*12,D376&lt;=0),0,MIN(H376,MAX(0,D376-G376)))</f><v>0</v></c></row><row r="377" spans="1:10" x14ac:dyDescent="0.25"><c r="A377"><v>374</v></c><c r="B377"><f t="shared" si="5"/>&lt;v&gt;32&lt;/v&gt;&lt;/c&gt;&lt;c r=&quot;C377&quot; s=&quot;37&quot;&gt;&lt;f&gt;IF(A377&gt;&apos;Property Calculator&apos;!$B$70*12,0,IF(AND(&apos;Property Calculator&apos;!$B$72=1,B377&gt;&apos;Property Calculator&apos;!$B$69),&apos;Property Calculator&apos;!$B$73,&apos;Property Calculator&apos;!$B$65))</f><v>0</v></c><c r="D377" s="72"><f>IF(A377&gt;&apos;Property Calculator&apos;!$B$70*12,0,I376)</f><v>0</v></c><c r="E377" s="72"><f>IF(OR(A377&gt;&apos;Property Calculator&apos;!$B$70*12,D377&lt;=0),0,IF(AND(&apos;Property Calculator&apos;!$B$72=1,B377&gt;&apos;Property Calculator&apos;!$B$69),MIN(D377*C377/12+&apos;Property Calculator&apos;!$B$74/12,D377*(1+C377/12)),MIN(&apos;Property Calculator&apos;!$B$67,D377*(1+C377/12))))</f><v>0</v></c><c r="F377" s="72"><f>IF(OR(A377&gt;&apos;Property Calculator&apos;!$B$70*12,D377&lt;=0),0,D377*C377/12)</f><v>0</v></c><c r="G377" s="72"><f>IF(OR(A377&gt;&apos;Property Calculator&apos;!$B$70*12,D377&lt;=0),0,MAX(0,MIN(D377,E377-F377)))</f><v>0</v></c><c r="H377" s="126"><v>0</v></c><c r="I377" s="72"><f>IF(A377&gt;&apos;Property Calculator&apos;!$B$70*12,0,MAX(0,D377-G377-J377))</f><v>0</v></c><c r="J377" s="72"><f>IF(OR(A377&gt;&apos;Property Calculator&apos;!$B$70*12,D377&lt;=0),0,MIN(H377,MAX(0,D377-G377)))</f><v>0</v></c></row><row r="378" spans="1:10" x14ac:dyDescent="0.25"><c r="A378"><v>375</v></c><c r="B378"><f t="shared" si="5"/>&lt;v&gt;32&lt;/v&gt;&lt;/c&gt;&lt;c r=&quot;C378&quot; s=&quot;37&quot;&gt;&lt;f&gt;IF(A378&gt;&apos;Property Calculator&apos;!$B$70*12,0,IF(AND(&apos;Property Calculator&apos;!$B$72=1,B378&gt;&apos;Property Calculator&apos;!$B$69),&apos;Property Calculator&apos;!$B$73,&apos;Property Calculator&apos;!$B$65))</f><v>0</v></c><c r="D378" s="72"><f>IF(A378&gt;&apos;Property Calculator&apos;!$B$70*12,0,I377)</f><v>0</v></c><c r="E378" s="72"><f>IF(OR(A378&gt;&apos;Property Calculator&apos;!$B$70*12,D378&lt;=0),0,IF(AND(&apos;Property Calculator&apos;!$B$72=1,B378&gt;&apos;Property Calculator&apos;!$B$69),MIN(D378*C378/12+&apos;Property Calculator&apos;!$B$74/12,D378*(1+C378/12)),MIN(&apos;Property Calculator&apos;!$B$67,D378*(1+C378/12))))</f><v>0</v></c><c r="F378" s="72"><f>IF(OR(A378&gt;&apos;Property Calculator&apos;!$B$70*12,D378&lt;=0),0,D378*C378/12)</f><v>0</v></c><c r="G378" s="72"><f>IF(OR(A378&gt;&apos;Property Calculator&apos;!$B$70*12,D378&lt;=0),0,MAX(0,MIN(D378,E378-F378)))</f><v>0</v></c><c r="H378" s="126"><v>0</v></c><c r="I378" s="72"><f>IF(A378&gt;&apos;Property Calculator&apos;!$B$70*12,0,MAX(0,D378-G378-J378))</f><v>0</v></c><c r="J378" s="72"><f>IF(OR(A378&gt;&apos;Property Calculator&apos;!$B$70*12,D378&lt;=0),0,MIN(H378,MAX(0,D378-G378)))</f><v>0</v></c></row><row r="379" spans="1:10" x14ac:dyDescent="0.25"><c r="A379"><v>376</v></c><c r="B379"><f t="shared" si="5"/>&lt;v&gt;32&lt;/v&gt;&lt;/c&gt;&lt;c r=&quot;C379&quot; s=&quot;37&quot;&gt;&lt;f&gt;IF(A379&gt;&apos;Property Calculator&apos;!$B$70*12,0,IF(AND(&apos;Property Calculator&apos;!$B$72=1,B379&gt;&apos;Property Calculator&apos;!$B$69),&apos;Property Calculator&apos;!$B$73,&apos;Property Calculator&apos;!$B$65))</f><v>0</v></c><c r="D379" s="72"><f>IF(A379&gt;&apos;Property Calculator&apos;!$B$70*12,0,I378)</f><v>0</v></c><c r="E379" s="72"><f>IF(OR(A379&gt;&apos;Property Calculator&apos;!$B$70*12,D379&lt;=0),0,IF(AND(&apos;Property Calculator&apos;!$B$72=1,B379&gt;&apos;Property Calculator&apos;!$B$69),MIN(D379*C379/12+&apos;Property Calculator&apos;!$B$74/12,D379*(1+C379/12)),MIN(&apos;Property Calculator&apos;!$B$67,D379*(1+C379/12))))</f><v>0</v></c><c r="F379" s="72"><f>IF(OR(A379&gt;&apos;Property Calculator&apos;!$B$70*12,D379&lt;=0),0,D379*C379/12)</f><v>0</v></c><c r="G379" s="72"><f>IF(OR(A379&gt;&apos;Property Calculator&apos;!$B$70*12,D379&lt;=0),0,MAX(0,MIN(D379,E379-F379)))</f><v>0</v></c><c r="H379" s="126"><v>0</v></c><c r="I379" s="72"><f>IF(A379&gt;&apos;Property Calculator&apos;!$B$70*12,0,MAX(0,D379-G379-J379))</f><v>0</v></c><c r="J379" s="72"><f>IF(OR(A379&gt;&apos;Property Calculator&apos;!$B$70*12,D379&lt;=0),0,MIN(H379,MAX(0,D379-G379)))</f><v>0</v></c></row><row r="380" spans="1:10" x14ac:dyDescent="0.25"><c r="A380"><v>377</v></c><c r="B380"><f t="shared" si="5"/>&lt;v&gt;32&lt;/v&gt;&lt;/c&gt;&lt;c r=&quot;C380&quot; s=&quot;37&quot;&gt;&lt;f&gt;IF(A380&gt;&apos;Property Calculator&apos;!$B$70*12,0,IF(AND(&apos;Property Calculator&apos;!$B$72=1,B380&gt;&apos;Property Calculator&apos;!$B$69),&apos;Property Calculator&apos;!$B$73,&apos;Property Calculator&apos;!$B$65))</f><v>0</v></c><c r="D380" s="72"><f>IF(A380&gt;&apos;Property Calculator&apos;!$B$70*12,0,I379)</f><v>0</v></c><c r="E380" s="72"><f>IF(OR(A380&gt;&apos;Property Calculator&apos;!$B$70*12,D380&lt;=0),0,IF(AND(&apos;Property Calculator&apos;!$B$72=1,B380&gt;&apos;Property Calculator&apos;!$B$69),MIN(D380*C380/12+&apos;Property Calculator&apos;!$B$74/12,D380*(1+C380/12)),MIN(&apos;Property Calculator&apos;!$B$67,D380*(1+C380/12))))</f><v>0</v></c><c r="F380" s="72"><f>IF(OR(A380&gt;&apos;Property Calculator&apos;!$B$70*12,D380&lt;=0),0,D380*C380/12)</f><v>0</v></c><c r="G380" s="72"><f>IF(OR(A380&gt;&apos;Property Calculator&apos;!$B$70*12,D380&lt;=0),0,MAX(0,MIN(D380,E380-F380)))</f><v>0</v></c><c r="H380" s="126"><v>0</v></c><c r="I380" s="72"><f>IF(A380&gt;&apos;Property Calculator&apos;!$B$70*12,0,MAX(0,D380-G380-J380))</f><v>0</v></c><c r="J380" s="72"><f>IF(OR(A380&gt;&apos;Property Calculator&apos;!$B$70*12,D380&lt;=0),0,MIN(H380,MAX(0,D380-G380)))</f><v>0</v></c></row><row r="381" spans="1:10" x14ac:dyDescent="0.25"><c r="A381"><v>378</v></c><c r="B381"><f t="shared" si="5"/>&lt;v&gt;32&lt;/v&gt;&lt;/c&gt;&lt;c r=&quot;C381&quot; s=&quot;37&quot;&gt;&lt;f&gt;IF(A381&gt;&apos;Property Calculator&apos;!$B$70*12,0,IF(AND(&apos;Property Calculator&apos;!$B$72=1,B381&gt;&apos;Property Calculator&apos;!$B$69),&apos;Property Calculator&apos;!$B$73,&apos;Property Calculator&apos;!$B$65))</f><v>0</v></c><c r="D381" s="72"><f>IF(A381&gt;&apos;Property Calculator&apos;!$B$70*12,0,I380)</f><v>0</v></c><c r="E381" s="72"><f>IF(OR(A381&gt;&apos;Property Calculator&apos;!$B$70*12,D381&lt;=0),0,IF(AND(&apos;Property Calculator&apos;!$B$72=1,B381&gt;&apos;Property Calculator&apos;!$B$69),MIN(D381*C381/12+&apos;Property Calculator&apos;!$B$74/12,D381*(1+C381/12)),MIN(&apos;Property Calculator&apos;!$B$67,D381*(1+C381/12))))</f><v>0</v></c><c r="F381" s="72"><f>IF(OR(A381&gt;&apos;Property Calculator&apos;!$B$70*12,D381&lt;=0),0,D381*C381/12)</f><v>0</v></c><c r="G381" s="72"><f>IF(OR(A381&gt;&apos;Property Calculator&apos;!$B$70*12,D381&lt;=0),0,MAX(0,MIN(D381,E381-F381)))</f><v>0</v></c><c r="H381" s="126"><v>0</v></c><c r="I381" s="72"><f>IF(A381&gt;&apos;Property Calculator&apos;!$B$70*12,0,MAX(0,D381-G381-J381))</f><v>0</v></c><c r="J381" s="72"><f>IF(OR(A381&gt;&apos;Property Calculator&apos;!$B$70*12,D381&lt;=0),0,MIN(H381,MAX(0,D381-G381)))</f><v>0</v></c></row><row r="382" spans="1:10" x14ac:dyDescent="0.25"><c r="A382"><v>379</v></c><c r="B382"><f t="shared" si="5"/>&lt;v&gt;32&lt;/v&gt;&lt;/c&gt;&lt;c r=&quot;C382&quot; s=&quot;37&quot;&gt;&lt;f&gt;IF(A382&gt;&apos;Property Calculator&apos;!$B$70*12,0,IF(AND(&apos;Property Calculator&apos;!$B$72=1,B382&gt;&apos;Property Calculator&apos;!$B$69),&apos;Property Calculator&apos;!$B$73,&apos;Property Calculator&apos;!$B$65))</f><v>0</v></c><c r="D382" s="72"><f>IF(A382&gt;&apos;Property Calculator&apos;!$B$70*12,0,I381)</f><v>0</v></c><c r="E382" s="72"><f>IF(OR(A382&gt;&apos;Property Calculator&apos;!$B$70*12,D382&lt;=0),0,IF(AND(&apos;Property Calculator&apos;!$B$72=1,B382&gt;&apos;Property Calculator&apos;!$B$69),MIN(D382*C382/12+&apos;Property Calculator&apos;!$B$74/12,D382*(1+C382/12)),MIN(&apos;Property Calculator&apos;!$B$67,D382*(1+C382/12))))</f><v>0</v></c><c r="F382" s="72"><f>IF(OR(A382&gt;&apos;Property Calculator&apos;!$B$70*12,D382&lt;=0),0,D382*C382/12)</f><v>0</v></c><c r="G382" s="72"><f>IF(OR(A382&gt;&apos;Property Calculator&apos;!$B$70*12,D382&lt;=0),0,MAX(0,MIN(D382,E382-F382)))</f><v>0</v></c><c r="H382" s="126"><v>0</v></c><c r="I382" s="72"><f>IF(A382&gt;&apos;Property Calculator&apos;!$B$70*12,0,MAX(0,D382-G382-J382))</f><v>0</v></c><c r="J382" s="72"><f>IF(OR(A382&gt;&apos;Property Calculator&apos;!$B$70*12,D382&lt;=0),0,MIN(H382,MAX(0,D382-G382)))</f><v>0</v></c></row><row r="383" spans="1:10" x14ac:dyDescent="0.25"><c r="A383"><v>380</v></c><c r="B383"><f t="shared" si="5"/>&lt;v&gt;32&lt;/v&gt;&lt;/c&gt;&lt;c r=&quot;C383&quot; s=&quot;37&quot;&gt;&lt;f&gt;IF(A383&gt;&apos;Property Calculator&apos;!$B$70*12,0,IF(AND(&apos;Property Calculator&apos;!$B$72=1,B383&gt;&apos;Property Calculator&apos;!$B$69),&apos;Property Calculator&apos;!$B$73,&apos;Property Calculator&apos;!$B$65))</f><v>0</v></c><c r="D383" s="72"><f>IF(A383&gt;&apos;Property Calculator&apos;!$B$70*12,0,I382)</f><v>0</v></c><c r="E383" s="72"><f>IF(OR(A383&gt;&apos;Property Calculator&apos;!$B$70*12,D383&lt;=0),0,IF(AND(&apos;Property Calculator&apos;!$B$72=1,B383&gt;&apos;Property Calculator&apos;!$B$69),MIN(D383*C383/12+&apos;Property Calculator&apos;!$B$74/12,D383*(1+C383/12)),MIN(&apos;Property Calculator&apos;!$B$67,D383*(1+C383/12))))</f><v>0</v></c><c r="F383" s="72"><f>IF(OR(A383&gt;&apos;Property Calculator&apos;!$B$70*12,D383&lt;=0),0,D383*C383/12)</f><v>0</v></c><c r="G383" s="72"><f>IF(OR(A383&gt;&apos;Property Calculator&apos;!$B$70*12,D383&lt;=0),0,MAX(0,MIN(D383,E383-F383)))</f><v>0</v></c><c r="H383" s="126"><v>0</v></c><c r="I383" s="72"><f>IF(A383&gt;&apos;Property Calculator&apos;!$B$70*12,0,MAX(0,D383-G383-J383))</f><v>0</v></c><c r="J383" s="72"><f>IF(OR(A383&gt;&apos;Property Calculator&apos;!$B$70*12,D383&lt;=0),0,MIN(H383,MAX(0,D383-G383)))</f><v>0</v></c></row><row r="384" spans="1:10" x14ac:dyDescent="0.25"><c r="A384"><v>381</v></c><c r="B384"><f t="shared" si="5"/>&lt;v&gt;32&lt;/v&gt;&lt;/c&gt;&lt;c r=&quot;C384&quot; s=&quot;37&quot;&gt;&lt;f&gt;IF(A384&gt;&apos;Property Calculator&apos;!$B$70*12,0,IF(AND(&apos;Property Calculator&apos;!$B$72=1,B384&gt;&apos;Property Calculator&apos;!$B$69),&apos;Property Calculator&apos;!$B$73,&apos;Property Calculator&apos;!$B$65))</f><v>0</v></c><c r="D384" s="72"><f>IF(A384&gt;&apos;Property Calculator&apos;!$B$70*12,0,I383)</f><v>0</v></c><c r="E384" s="72"><f>IF(OR(A384&gt;&apos;Property Calculator&apos;!$B$70*12,D384&lt;=0),0,IF(AND(&apos;Property Calculator&apos;!$B$72=1,B384&gt;&apos;Property Calculator&apos;!$B$69),MIN(D384*C384/12+&apos;Property Calculator&apos;!$B$74/12,D384*(1+C384/12)),MIN(&apos;Property Calculator&apos;!$B$67,D384*(1+C384/12))))</f><v>0</v></c><c r="F384" s="72"><f>IF(OR(A384&gt;&apos;Property Calculator&apos;!$B$70*12,D384&lt;=0),0,D384*C384/12)</f><v>0</v></c><c r="G384" s="72"><f>IF(OR(A384&gt;&apos;Property Calculator&apos;!$B$70*12,D384&lt;=0),0,MAX(0,MIN(D384,E384-F384)))</f><v>0</v></c><c r="H384" s="126"><v>0</v></c><c r="I384" s="72"><f>IF(A384&gt;&apos;Property Calculator&apos;!$B$70*12,0,MAX(0,D384-G384-J384))</f><v>0</v></c><c r="J384" s="72"><f>IF(OR(A384&gt;&apos;Property Calculator&apos;!$B$70*12,D384&lt;=0),0,MIN(H384,MAX(0,D384-G384)))</f><v>0</v></c></row><row r="385" spans="1:10" x14ac:dyDescent="0.25"><c r="A385"><v>382</v></c><c r="B385"><f t="shared" si="5"/>&lt;v&gt;32&lt;/v&gt;&lt;/c&gt;&lt;c r=&quot;C385&quot; s=&quot;37&quot;&gt;&lt;f&gt;IF(A385&gt;&apos;Property Calculator&apos;!$B$70*12,0,IF(AND(&apos;Property Calculator&apos;!$B$72=1,B385&gt;&apos;Property Calculator&apos;!$B$69),&apos;Property Calculator&apos;!$B$73,&apos;Property Calculator&apos;!$B$65))</f><v>0</v></c><c r="D385" s="72"><f>IF(A385&gt;&apos;Property Calculator&apos;!$B$70*12,0,I384)</f><v>0</v></c><c r="E385" s="72"><f>IF(OR(A385&gt;&apos;Property Calculator&apos;!$B$70*12,D385&lt;=0),0,IF(AND(&apos;Property Calculator&apos;!$B$72=1,B385&gt;&apos;Property Calculator&apos;!$B$69),MIN(D385*C385/12+&apos;Property Calculator&apos;!$B$74/12,D385*(1+C385/12)),MIN(&apos;Property Calculator&apos;!$B$67,D385*(1+C385/12))))</f><v>0</v></c><c r="F385" s="72"><f>IF(OR(A385&gt;&apos;Property Calculator&apos;!$B$70*12,D385&lt;=0),0,D385*C385/12)</f><v>0</v></c><c r="G385" s="72"><f>IF(OR(A385&gt;&apos;Property Calculator&apos;!$B$70*12,D385&lt;=0),0,MAX(0,MIN(D385,E385-F385)))</f><v>0</v></c><c r="H385" s="126"><v>0</v></c><c r="I385" s="72"><f>IF(A385&gt;&apos;Property Calculator&apos;!$B$70*12,0,MAX(0,D385-G385-J385))</f><v>0</v></c><c r="J385" s="72"><f>IF(OR(A385&gt;&apos;Property Calculator&apos;!$B$70*12,D385&lt;=0),0,MIN(H385,MAX(0,D385-G385)))</f><v>0</v></c></row><row r="386" spans="1:10" x14ac:dyDescent="0.25"><c r="A386"><v>383</v></c><c r="B386"><f t="shared" si="5"/>&lt;v&gt;32&lt;/v&gt;&lt;/c&gt;&lt;c r=&quot;C386&quot; s=&quot;37&quot;&gt;&lt;f&gt;IF(A386&gt;&apos;Property Calculator&apos;!$B$70*12,0,IF(AND(&apos;Property Calculator&apos;!$B$72=1,B386&gt;&apos;Property Calculator&apos;!$B$69),&apos;Property Calculator&apos;!$B$73,&apos;Property Calculator&apos;!$B$65))</f><v>0</v></c><c r="D386" s="72"><f>IF(A386&gt;&apos;Property Calculator&apos;!$B$70*12,0,I385)</f><v>0</v></c><c r="E386" s="72"><f>IF(OR(A386&gt;&apos;Property Calculator&apos;!$B$70*12,D386&lt;=0),0,IF(AND(&apos;Property Calculator&apos;!$B$72=1,B386&gt;&apos;Property Calculator&apos;!$B$69),MIN(D386*C386/12+&apos;Property Calculator&apos;!$B$74/12,D386*(1+C386/12)),MIN(&apos;Property Calculator&apos;!$B$67,D386*(1+C386/12))))</f><v>0</v></c><c r="F386" s="72"><f>IF(OR(A386&gt;&apos;Property Calculator&apos;!$B$70*12,D386&lt;=0),0,D386*C386/12)</f><v>0</v></c><c r="G386" s="72"><f>IF(OR(A386&gt;&apos;Property Calculator&apos;!$B$70*12,D386&lt;=0),0,MAX(0,MIN(D386,E386-F386)))</f><v>0</v></c><c r="H386" s="126"><v>0</v></c><c r="I386" s="72"><f>IF(A386&gt;&apos;Property Calculator&apos;!$B$70*12,0,MAX(0,D386-G386-J386))</f><v>0</v></c><c r="J386" s="72"><f>IF(OR(A386&gt;&apos;Property Calculator&apos;!$B$70*12,D386&lt;=0),0,MIN(H386,MAX(0,D386-G386)))</f><v>0</v></c></row><row r="387" spans="1:10" x14ac:dyDescent="0.25"><c r="A387"><v>384</v></c><c r="B387"><f t="shared" si="5"/>&lt;v&gt;32&lt;/v&gt;&lt;/c&gt;&lt;c r=&quot;C387&quot; s=&quot;37&quot;&gt;&lt;f&gt;IF(A387&gt;&apos;Property Calculator&apos;!$B$70*12,0,IF(AND(&apos;Property Calculator&apos;!$B$72=1,B387&gt;&apos;Property Calculator&apos;!$B$69),&apos;Property Calculator&apos;!$B$73,&apos;Property Calculator&apos;!$B$65))</f><v>0</v></c><c r="D387" s="72"><f>IF(A387&gt;&apos;Property Calculator&apos;!$B$70*12,0,I386)</f><v>0</v></c><c r="E387" s="72"><f>IF(OR(A387&gt;&apos;Property Calculator&apos;!$B$70*12,D387&lt;=0),0,IF(AND(&apos;Property Calculator&apos;!$B$72=1,B387&gt;&apos;Property Calculator&apos;!$B$69),MIN(D387*C387/12+&apos;Property Calculator&apos;!$B$74/12,D387*(1+C387/12)),MIN(&apos;Property Calculator&apos;!$B$67,D387*(1+C387/12))))</f><v>0</v></c><c r="F387" s="72"><f>IF(OR(A387&gt;&apos;Property Calculator&apos;!$B$70*12,D387&lt;=0),0,D387*C387/12)</f><v>0</v></c><c r="G387" s="72"><f>IF(OR(A387&gt;&apos;Property Calculator&apos;!$B$70*12,D387&lt;=0),0,MAX(0,MIN(D387,E387-F387)))</f><v>0</v></c><c r="H387" s="126"><v>0</v></c><c r="I387" s="72"><f>IF(A387&gt;&apos;Property Calculator&apos;!$B$70*12,0,MAX(0,D387-G387-J387))</f><v>0</v></c><c r="J387" s="72"><f>IF(OR(A387&gt;&apos;Property Calculator&apos;!$B$70*12,D387&lt;=0),0,MIN(H387,MAX(0,D387-G387)))</f><v>0</v></c></row><row r="388" spans="1:10" x14ac:dyDescent="0.25"><c r="A388"><v>385</v></c><c r="B388"><f t="shared" ref="B388:B451" si="6">INT((A388-1)/12)+1</f><v>33</v></c><c r="C388" s="37"><f>IF(A388&gt;&apos;Property Calculator&apos;!$B$70*12,0,IF(AND(&apos;Property Calculator&apos;!$B$72=1,B388&gt;&apos;Property Calculator&apos;!$B$69),&apos;Property Calculator&apos;!$B$73,&apos;Property Calculator&apos;!$B$65))</f><v>0</v></c><c r="D388" s="72"><f>IF(A388&gt;&apos;Property Calculator&apos;!$B$70*12,0,I387)</f><v>0</v></c><c r="E388" s="72"><f>IF(OR(A388&gt;&apos;Property Calculator&apos;!$B$70*12,D388&lt;=0),0,IF(AND(&apos;Property Calculator&apos;!$B$72=1,B388&gt;&apos;Property Calculator&apos;!$B$69),MIN(D388*C388/12+&apos;Property Calculator&apos;!$B$74/12,D388*(1+C388/12)),MIN(&apos;Property Calculator&apos;!$B$67,D388*(1+C388/12))))</f><v>0</v></c><c r="F388" s="72"><f>IF(OR(A388&gt;&apos;Property Calculator&apos;!$B$70*12,D388&lt;=0),0,D388*C388/12)</f><v>0</v></c><c r="G388" s="72"><f>IF(OR(A388&gt;&apos;Property Calculator&apos;!$B$70*12,D388&lt;=0),0,MAX(0,MIN(D388,E388-F388)))</f><v>0</v></c><c r="H388" s="126"><v>0</v></c><c r="I388" s="72"><f>IF(A388&gt;&apos;Property Calculator&apos;!$B$70*12,0,MAX(0,D388-G388-J388))</f><v>0</v></c><c r="J388" s="72"><f>IF(OR(A388&gt;&apos;Property Calculator&apos;!$B$70*12,D388&lt;=0),0,MIN(H388,MAX(0,D388-G388)))</f><v>0</v></c></row><row r="389" spans="1:10" x14ac:dyDescent="0.25"><c r="A389"><v>386</v></c><c r="B389"><f t="shared" si="6"/>&lt;v&gt;33&lt;/v&gt;&lt;/c&gt;&lt;c r=&quot;C389&quot; s=&quot;37&quot;&gt;&lt;f&gt;IF(A389&gt;&apos;Property Calculator&apos;!$B$70*12,0,IF(AND(&apos;Property Calculator&apos;!$B$72=1,B389&gt;&apos;Property Calculator&apos;!$B$69),&apos;Property Calculator&apos;!$B$73,&apos;Property Calculator&apos;!$B$65))</f><v>0</v></c><c r="D389" s="72"><f>IF(A389&gt;&apos;Property Calculator&apos;!$B$70*12,0,I388)</f><v>0</v></c><c r="E389" s="72"><f>IF(OR(A389&gt;&apos;Property Calculator&apos;!$B$70*12,D389&lt;=0),0,IF(AND(&apos;Property Calculator&apos;!$B$72=1,B389&gt;&apos;Property Calculator&apos;!$B$69),MIN(D389*C389/12+&apos;Property Calculator&apos;!$B$74/12,D389*(1+C389/12)),MIN(&apos;Property Calculator&apos;!$B$67,D389*(1+C389/12))))</f><v>0</v></c><c r="F389" s="72"><f>IF(OR(A389&gt;&apos;Property Calculator&apos;!$B$70*12,D389&lt;=0),0,D389*C389/12)</f><v>0</v></c><c r="G389" s="72"><f>IF(OR(A389&gt;&apos;Property Calculator&apos;!$B$70*12,D389&lt;=0),0,MAX(0,MIN(D389,E389-F389)))</f><v>0</v></c><c r="H389" s="126"><v>0</v></c><c r="I389" s="72"><f>IF(A389&gt;&apos;Property Calculator&apos;!$B$70*12,0,MAX(0,D389-G389-J389))</f><v>0</v></c><c r="J389" s="72"><f>IF(OR(A389&gt;&apos;Property Calculator&apos;!$B$70*12,D389&lt;=0),0,MIN(H389,MAX(0,D389-G389)))</f><v>0</v></c></row><row r="390" spans="1:10" x14ac:dyDescent="0.25"><c r="A390"><v>387</v></c><c r="B390"><f t="shared" si="6"/>&lt;v&gt;33&lt;/v&gt;&lt;/c&gt;&lt;c r=&quot;C390&quot; s=&quot;37&quot;&gt;&lt;f&gt;IF(A390&gt;&apos;Property Calculator&apos;!$B$70*12,0,IF(AND(&apos;Property Calculator&apos;!$B$72=1,B390&gt;&apos;Property Calculator&apos;!$B$69),&apos;Property Calculator&apos;!$B$73,&apos;Property Calculator&apos;!$B$65))</f><v>0</v></c><c r="D390" s="72"><f>IF(A390&gt;&apos;Property Calculator&apos;!$B$70*12,0,I389)</f><v>0</v></c><c r="E390" s="72"><f>IF(OR(A390&gt;&apos;Property Calculator&apos;!$B$70*12,D390&lt;=0),0,IF(AND(&apos;Property Calculator&apos;!$B$72=1,B390&gt;&apos;Property Calculator&apos;!$B$69),MIN(D390*C390/12+&apos;Property Calculator&apos;!$B$74/12,D390*(1+C390/12)),MIN(&apos;Property Calculator&apos;!$B$67,D390*(1+C390/12))))</f><v>0</v></c><c r="F390" s="72"><f>IF(OR(A390&gt;&apos;Property Calculator&apos;!$B$70*12,D390&lt;=0),0,D390*C390/12)</f><v>0</v></c><c r="G390" s="72"><f>IF(OR(A390&gt;&apos;Property Calculator&apos;!$B$70*12,D390&lt;=0),0,MAX(0,MIN(D390,E390-F390)))</f><v>0</v></c><c r="H390" s="126"><v>0</v></c><c r="I390" s="72"><f>IF(A390&gt;&apos;Property Calculator&apos;!$B$70*12,0,MAX(0,D390-G390-J390))</f><v>0</v></c><c r="J390" s="72"><f>IF(OR(A390&gt;&apos;Property Calculator&apos;!$B$70*12,D390&lt;=0),0,MIN(H390,MAX(0,D390-G390)))</f><v>0</v></c></row><row r="391" spans="1:10" x14ac:dyDescent="0.25"><c r="A391"><v>388</v></c><c r="B391"><f t="shared" si="6"/>&lt;v&gt;33&lt;/v&gt;&lt;/c&gt;&lt;c r=&quot;C391&quot; s=&quot;37&quot;&gt;&lt;f&gt;IF(A391&gt;&apos;Property Calculator&apos;!$B$70*12,0,IF(AND(&apos;Property Calculator&apos;!$B$72=1,B391&gt;&apos;Property Calculator&apos;!$B$69),&apos;Property Calculator&apos;!$B$73,&apos;Property Calculator&apos;!$B$65))</f><v>0</v></c><c r="D391" s="72"><f>IF(A391&gt;&apos;Property Calculator&apos;!$B$70*12,0,I390)</f><v>0</v></c><c r="E391" s="72"><f>IF(OR(A391&gt;&apos;Property Calculator&apos;!$B$70*12,D391&lt;=0),0,IF(AND(&apos;Property Calculator&apos;!$B$72=1,B391&gt;&apos;Property Calculator&apos;!$B$69),MIN(D391*C391/12+&apos;Property Calculator&apos;!$B$74/12,D391*(1+C391/12)),MIN(&apos;Property Calculator&apos;!$B$67,D391*(1+C391/12))))</f><v>0</v></c><c r="F391" s="72"><f>IF(OR(A391&gt;&apos;Property Calculator&apos;!$B$70*12,D391&lt;=0),0,D391*C391/12)</f><v>0</v></c><c r="G391" s="72"><f>IF(OR(A391&gt;&apos;Property Calculator&apos;!$B$70*12,D391&lt;=0),0,MAX(0,MIN(D391,E391-F391)))</f><v>0</v></c><c r="H391" s="126"><v>0</v></c><c r="I391" s="72"><f>IF(A391&gt;&apos;Property Calculator&apos;!$B$70*12,0,MAX(0,D391-G391-J391))</f><v>0</v></c><c r="J391" s="72"><f>IF(OR(A391&gt;&apos;Property Calculator&apos;!$B$70*12,D391&lt;=0),0,MIN(H391,MAX(0,D391-G391)))</f><v>0</v></c></row><row r="392" spans="1:10" x14ac:dyDescent="0.25"><c r="A392"><v>389</v></c><c r="B392"><f t="shared" si="6"/>&lt;v&gt;33&lt;/v&gt;&lt;/c&gt;&lt;c r=&quot;C392&quot; s=&quot;37&quot;&gt;&lt;f&gt;IF(A392&gt;&apos;Property Calculator&apos;!$B$70*12,0,IF(AND(&apos;Property Calculator&apos;!$B$72=1,B392&gt;&apos;Property Calculator&apos;!$B$69),&apos;Property Calculator&apos;!$B$73,&apos;Property Calculator&apos;!$B$65))</f><v>0</v></c><c r="D392" s="72"><f>IF(A392&gt;&apos;Property Calculator&apos;!$B$70*12,0,I391)</f><v>0</v></c><c r="E392" s="72"><f>IF(OR(A392&gt;&apos;Property Calculator&apos;!$B$70*12,D392&lt;=0),0,IF(AND(&apos;Property Calculator&apos;!$B$72=1,B392&gt;&apos;Property Calculator&apos;!$B$69),MIN(D392*C392/12+&apos;Property Calculator&apos;!$B$74/12,D392*(1+C392/12)),MIN(&apos;Property Calculator&apos;!$B$67,D392*(1+C392/12))))</f><v>0</v></c><c r="F392" s="72"><f>IF(OR(A392&gt;&apos;Property Calculator&apos;!$B$70*12,D392&lt;=0),0,D392*C392/12)</f><v>0</v></c><c r="G392" s="72"><f>IF(OR(A392&gt;&apos;Property Calculator&apos;!$B$70*12,D392&lt;=0),0,MAX(0,MIN(D392,E392-F392)))</f><v>0</v></c><c r="H392" s="126"><v>0</v></c><c r="I392" s="72"><f>IF(A392&gt;&apos;Property Calculator&apos;!$B$70*12,0,MAX(0,D392-G392-J392))</f><v>0</v></c><c r="J392" s="72"><f>IF(OR(A392&gt;&apos;Property Calculator&apos;!$B$70*12,D392&lt;=0),0,MIN(H392,MAX(0,D392-G392)))</f><v>0</v></c></row><row r="393" spans="1:10" x14ac:dyDescent="0.25"><c r="A393"><v>390</v></c><c r="B393"><f t="shared" si="6"/>&lt;v&gt;33&lt;/v&gt;&lt;/c&gt;&lt;c r=&quot;C393&quot; s=&quot;37&quot;&gt;&lt;f&gt;IF(A393&gt;&apos;Property Calculator&apos;!$B$70*12,0,IF(AND(&apos;Property Calculator&apos;!$B$72=1,B393&gt;&apos;Property Calculator&apos;!$B$69),&apos;Property Calculator&apos;!$B$73,&apos;Property Calculator&apos;!$B$65))</f><v>0</v></c><c r="D393" s="72"><f>IF(A393&gt;&apos;Property Calculator&apos;!$B$70*12,0,I392)</f><v>0</v></c><c r="E393" s="72"><f>IF(OR(A393&gt;&apos;Property Calculator&apos;!$B$70*12,D393&lt;=0),0,IF(AND(&apos;Property Calculator&apos;!$B$72=1,B393&gt;&apos;Property Calculator&apos;!$B$69),MIN(D393*C393/12+&apos;Property Calculator&apos;!$B$74/12,D393*(1+C393/12)),MIN(&apos;Property Calculator&apos;!$B$67,D393*(1+C393/12))))</f><v>0</v></c><c r="F393" s="72"><f>IF(OR(A393&gt;&apos;Property Calculator&apos;!$B$70*12,D393&lt;=0),0,D393*C393/12)</f><v>0</v></c><c r="G393" s="72"><f>IF(OR(A393&gt;&apos;Property Calculator&apos;!$B$70*12,D393&lt;=0),0,MAX(0,MIN(D393,E393-F393)))</f><v>0</v></c><c r="H393" s="126"><v>0</v></c><c r="I393" s="72"><f>IF(A393&gt;&apos;Property Calculator&apos;!$B$70*12,0,MAX(0,D393-G393-J393))</f><v>0</v></c><c r="J393" s="72"><f>IF(OR(A393&gt;&apos;Property Calculator&apos;!$B$70*12,D393&lt;=0),0,MIN(H393,MAX(0,D393-G393)))</f><v>0</v></c></row><row r="394" spans="1:10" x14ac:dyDescent="0.25"><c r="A394"><v>391</v></c><c r="B394"><f t="shared" si="6"/>&lt;v&gt;33&lt;/v&gt;&lt;/c&gt;&lt;c r=&quot;C394&quot; s=&quot;37&quot;&gt;&lt;f&gt;IF(A394&gt;&apos;Property Calculator&apos;!$B$70*12,0,IF(AND(&apos;Property Calculator&apos;!$B$72=1,B394&gt;&apos;Property Calculator&apos;!$B$69),&apos;Property Calculator&apos;!$B$73,&apos;Property Calculator&apos;!$B$65))</f><v>0</v></c><c r="D394" s="72"><f>IF(A394&gt;&apos;Property Calculator&apos;!$B$70*12,0,I393)</f><v>0</v></c><c r="E394" s="72"><f>IF(OR(A394&gt;&apos;Property Calculator&apos;!$B$70*12,D394&lt;=0),0,IF(AND(&apos;Property Calculator&apos;!$B$72=1,B394&gt;&apos;Property Calculator&apos;!$B$69),MIN(D394*C394/12+&apos;Property Calculator&apos;!$B$74/12,D394*(1+C394/12)),MIN(&apos;Property Calculator&apos;!$B$67,D394*(1+C394/12))))</f><v>0</v></c><c r="F394" s="72"><f>IF(OR(A394&gt;&apos;Property Calculator&apos;!$B$70*12,D394&lt;=0),0,D394*C394/12)</f><v>0</v></c><c r="G394" s="72"><f>IF(OR(A394&gt;&apos;Property Calculator&apos;!$B$70*12,D394&lt;=0),0,MAX(0,MIN(D394,E394-F394)))</f><v>0</v></c><c r="H394" s="126"><v>0</v></c><c r="I394" s="72"><f>IF(A394&gt;&apos;Property Calculator&apos;!$B$70*12,0,MAX(0,D394-G394-J394))</f><v>0</v></c><c r="J394" s="72"><f>IF(OR(A394&gt;&apos;Property Calculator&apos;!$B$70*12,D394&lt;=0),0,MIN(H394,MAX(0,D394-G394)))</f><v>0</v></c></row><row r="395" spans="1:10" x14ac:dyDescent="0.25"><c r="A395"><v>392</v></c><c r="B395"><f t="shared" si="6"/>&lt;v&gt;33&lt;/v&gt;&lt;/c&gt;&lt;c r=&quot;C395&quot; s=&quot;37&quot;&gt;&lt;f&gt;IF(A395&gt;&apos;Property Calculator&apos;!$B$70*12,0,IF(AND(&apos;Property Calculator&apos;!$B$72=1,B395&gt;&apos;Property Calculator&apos;!$B$69),&apos;Property Calculator&apos;!$B$73,&apos;Property Calculator&apos;!$B$65))</f><v>0</v></c><c r="D395" s="72"><f>IF(A395&gt;&apos;Property Calculator&apos;!$B$70*12,0,I394)</f><v>0</v></c><c r="E395" s="72"><f>IF(OR(A395&gt;&apos;Property Calculator&apos;!$B$70*12,D395&lt;=0),0,IF(AND(&apos;Property Calculator&apos;!$B$72=1,B395&gt;&apos;Property Calculator&apos;!$B$69),MIN(D395*C395/12+&apos;Property Calculator&apos;!$B$74/12,D395*(1+C395/12)),MIN(&apos;Property Calculator&apos;!$B$67,D395*(1+C395/12))))</f><v>0</v></c><c r="F395" s="72"><f>IF(OR(A395&gt;&apos;Property Calculator&apos;!$B$70*12,D395&lt;=0),0,D395*C395/12)</f><v>0</v></c><c r="G395" s="72"><f>IF(OR(A395&gt;&apos;Property Calculator&apos;!$B$70*12,D395&lt;=0),0,MAX(0,MIN(D395,E395-F395)))</f><v>0</v></c><c r="H395" s="126"><v>0</v></c><c r="I395" s="72"><f>IF(A395&gt;&apos;Property Calculator&apos;!$B$70*12,0,MAX(0,D395-G395-J395))</f><v>0</v></c><c r="J395" s="72"><f>IF(OR(A395&gt;&apos;Property Calculator&apos;!$B$70*12,D395&lt;=0),0,MIN(H395,MAX(0,D395-G395)))</f><v>0</v></c></row><row r="396" spans="1:10" x14ac:dyDescent="0.25"><c r="A396"><v>393</v></c><c r="B396"><f t="shared" si="6"/>&lt;v&gt;33&lt;/v&gt;&lt;/c&gt;&lt;c r=&quot;C396&quot; s=&quot;37&quot;&gt;&lt;f&gt;IF(A396&gt;&apos;Property Calculator&apos;!$B$70*12,0,IF(AND(&apos;Property Calculator&apos;!$B$72=1,B396&gt;&apos;Property Calculator&apos;!$B$69),&apos;Property Calculator&apos;!$B$73,&apos;Property Calculator&apos;!$B$65))</f><v>0</v></c><c r="D396" s="72"><f>IF(A396&gt;&apos;Property Calculator&apos;!$B$70*12,0,I395)</f><v>0</v></c><c r="E396" s="72"><f>IF(OR(A396&gt;&apos;Property Calculator&apos;!$B$70*12,D396&lt;=0),0,IF(AND(&apos;Property Calculator&apos;!$B$72=1,B396&gt;&apos;Property Calculator&apos;!$B$69),MIN(D396*C396/12+&apos;Property Calculator&apos;!$B$74/12,D396*(1+C396/12)),MIN(&apos;Property Calculator&apos;!$B$67,D396*(1+C396/12))))</f><v>0</v></c><c r="F396" s="72"><f>IF(OR(A396&gt;&apos;Property Calculator&apos;!$B$70*12,D396&lt;=0),0,D396*C396/12)</f><v>0</v></c><c r="G396" s="72"><f>IF(OR(A396&gt;&apos;Property Calculator&apos;!$B$70*12,D396&lt;=0),0,MAX(0,MIN(D396,E396-F396)))</f><v>0</v></c><c r="H396" s="126"><v>0</v></c><c r="I396" s="72"><f>IF(A396&gt;&apos;Property Calculator&apos;!$B$70*12,0,MAX(0,D396-G396-J396))</f><v>0</v></c><c r="J396" s="72"><f>IF(OR(A396&gt;&apos;Property Calculator&apos;!$B$70*12,D396&lt;=0),0,MIN(H396,MAX(0,D396-G396)))</f><v>0</v></c></row><row r="397" spans="1:10" x14ac:dyDescent="0.25"><c r="A397"><v>394</v></c><c r="B397"><f t="shared" si="6"/>&lt;v&gt;33&lt;/v&gt;&lt;/c&gt;&lt;c r=&quot;C397&quot; s=&quot;37&quot;&gt;&lt;f&gt;IF(A397&gt;&apos;Property Calculator&apos;!$B$70*12,0,IF(AND(&apos;Property Calculator&apos;!$B$72=1,B397&gt;&apos;Property Calculator&apos;!$B$69),&apos;Property Calculator&apos;!$B$73,&apos;Property Calculator&apos;!$B$65))</f><v>0</v></c><c r="D397" s="72"><f>IF(A397&gt;&apos;Property Calculator&apos;!$B$70*12,0,I396)</f><v>0</v></c><c r="E397" s="72"><f>IF(OR(A397&gt;&apos;Property Calculator&apos;!$B$70*12,D397&lt;=0),0,IF(AND(&apos;Property Calculator&apos;!$B$72=1,B397&gt;&apos;Property Calculator&apos;!$B$69),MIN(D397*C397/12+&apos;Property Calculator&apos;!$B$74/12,D397*(1+C397/12)),MIN(&apos;Property Calculator&apos;!$B$67,D397*(1+C397/12))))</f><v>0</v></c><c r="F397" s="72"><f>IF(OR(A397&gt;&apos;Property Calculator&apos;!$B$70*12,D397&lt;=0),0,D397*C397/12)</f><v>0</v></c><c r="G397" s="72"><f>IF(OR(A397&gt;&apos;Property Calculator&apos;!$B$70*12,D397&lt;=0),0,MAX(0,MIN(D397,E397-F397)))</f><v>0</v></c><c r="H397" s="126"><v>0</v></c><c r="I397" s="72"><f>IF(A397&gt;&apos;Property Calculator&apos;!$B$70*12,0,MAX(0,D397-G397-J397))</f><v>0</v></c><c r="J397" s="72"><f>IF(OR(A397&gt;&apos;Property Calculator&apos;!$B$70*12,D397&lt;=0),0,MIN(H397,MAX(0,D397-G397)))</f><v>0</v></c></row><row r="398" spans="1:10" x14ac:dyDescent="0.25"><c r="A398"><v>395</v></c><c r="B398"><f t="shared" si="6"/>&lt;v&gt;33&lt;/v&gt;&lt;/c&gt;&lt;c r=&quot;C398&quot; s=&quot;37&quot;&gt;&lt;f&gt;IF(A398&gt;&apos;Property Calculator&apos;!$B$70*12,0,IF(AND(&apos;Property Calculator&apos;!$B$72=1,B398&gt;&apos;Property Calculator&apos;!$B$69),&apos;Property Calculator&apos;!$B$73,&apos;Property Calculator&apos;!$B$65))</f><v>0</v></c><c r="D398" s="72"><f>IF(A398&gt;&apos;Property Calculator&apos;!$B$70*12,0,I397)</f><v>0</v></c><c r="E398" s="72"><f>IF(OR(A398&gt;&apos;Property Calculator&apos;!$B$70*12,D398&lt;=0),0,IF(AND(&apos;Property Calculator&apos;!$B$72=1,B398&gt;&apos;Property Calculator&apos;!$B$69),MIN(D398*C398/12+&apos;Property Calculator&apos;!$B$74/12,D398*(1+C398/12)),MIN(&apos;Property Calculator&apos;!$B$67,D398*(1+C398/12))))</f><v>0</v></c><c r="F398" s="72"><f>IF(OR(A398&gt;&apos;Property Calculator&apos;!$B$70*12,D398&lt;=0),0,D398*C398/12)</f><v>0</v></c><c r="G398" s="72"><f>IF(OR(A398&gt;&apos;Property Calculator&apos;!$B$70*12,D398&lt;=0),0,MAX(0,MIN(D398,E398-F398)))</f><v>0</v></c><c r="H398" s="126"><v>0</v></c><c r="I398" s="72"><f>IF(A398&gt;&apos;Property Calculator&apos;!$B$70*12,0,MAX(0,D398-G398-J398))</f><v>0</v></c><c r="J398" s="72"><f>IF(OR(A398&gt;&apos;Property Calculator&apos;!$B$70*12,D398&lt;=0),0,MIN(H398,MAX(0,D398-G398)))</f><v>0</v></c></row><row r="399" spans="1:10" x14ac:dyDescent="0.25"><c r="A399"><v>396</v></c><c r="B399"><f t="shared" si="6"/>&lt;v&gt;33&lt;/v&gt;&lt;/c&gt;&lt;c r=&quot;C399&quot; s=&quot;37&quot;&gt;&lt;f&gt;IF(A399&gt;&apos;Property Calculator&apos;!$B$70*12,0,IF(AND(&apos;Property Calculator&apos;!$B$72=1,B399&gt;&apos;Property Calculator&apos;!$B$69),&apos;Property Calculator&apos;!$B$73,&apos;Property Calculator&apos;!$B$65))</f><v>0</v></c><c r="D399" s="72"><f>IF(A399&gt;&apos;Property Calculator&apos;!$B$70*12,0,I398)</f><v>0</v></c><c r="E399" s="72"><f>IF(OR(A399&gt;&apos;Property Calculator&apos;!$B$70*12,D399&lt;=0),0,IF(AND(&apos;Property Calculator&apos;!$B$72=1,B399&gt;&apos;Property Calculator&apos;!$B$69),MIN(D399*C399/12+&apos;Property Calculator&apos;!$B$74/12,D399*(1+C399/12)),MIN(&apos;Property Calculator&apos;!$B$67,D399*(1+C399/12))))</f><v>0</v></c><c r="F399" s="72"><f>IF(OR(A399&gt;&apos;Property Calculator&apos;!$B$70*12,D399&lt;=0),0,D399*C399/12)</f><v>0</v></c><c r="G399" s="72"><f>IF(OR(A399&gt;&apos;Property Calculator&apos;!$B$70*12,D399&lt;=0),0,MAX(0,MIN(D399,E399-F399)))</f><v>0</v></c><c r="H399" s="126"><v>0</v></c><c r="I399" s="72"><f>IF(A399&gt;&apos;Property Calculator&apos;!$B$70*12,0,MAX(0,D399-G399-J399))</f><v>0</v></c><c r="J399" s="72"><f>IF(OR(A399&gt;&apos;Property Calculator&apos;!$B$70*12,D399&lt;=0),0,MIN(H399,MAX(0,D399-G399)))</f><v>0</v></c></row><row r="400" spans="1:10" x14ac:dyDescent="0.25"><c r="A400"><v>397</v></c><c r="B400"><f t="shared" si="6"/>&lt;v&gt;34&lt;/v&gt;&lt;/c&gt;&lt;c r=&quot;C400&quot; s=&quot;37&quot;&gt;&lt;f&gt;IF(A400&gt;&apos;Property Calculator&apos;!$B$70*12,0,IF(AND(&apos;Property Calculator&apos;!$B$72=1,B400&gt;&apos;Property Calculator&apos;!$B$69),&apos;Property Calculator&apos;!$B$73,&apos;Property Calculator&apos;!$B$65))</f><v>0</v></c><c r="D400" s="72"><f>IF(A400&gt;&apos;Property Calculator&apos;!$B$70*12,0,I399)</f><v>0</v></c><c r="E400" s="72"><f>IF(OR(A400&gt;&apos;Property Calculator&apos;!$B$70*12,D400&lt;=0),0,IF(AND(&apos;Property Calculator&apos;!$B$72=1,B400&gt;&apos;Property Calculator&apos;!$B$69),MIN(D400*C400/12+&apos;Property Calculator&apos;!$B$74/12,D400*(1+C400/12)),MIN(&apos;Property Calculator&apos;!$B$67,D400*(1+C400/12))))</f><v>0</v></c><c r="F400" s="72"><f>IF(OR(A400&gt;&apos;Property Calculator&apos;!$B$70*12,D400&lt;=0),0,D400*C400/12)</f><v>0</v></c><c r="G400" s="72"><f>IF(OR(A400&gt;&apos;Property Calculator&apos;!$B$70*12,D400&lt;=0),0,MAX(0,MIN(D400,E400-F400)))</f><v>0</v></c><c r="H400" s="126"><v>0</v></c><c r="I400" s="72"><f>IF(A400&gt;&apos;Property Calculator&apos;!$B$70*12,0,MAX(0,D400-G400-J400))</f><v>0</v></c><c r="J400" s="72"><f>IF(OR(A400&gt;&apos;Property Calculator&apos;!$B$70*12,D400&lt;=0),0,MIN(H400,MAX(0,D400-G400)))</f><v>0</v></c></row><row r="401" spans="1:10" x14ac:dyDescent="0.25"><c r="A401"><v>398</v></c><c r="B401"><f t="shared" si="6"/>&lt;v&gt;34&lt;/v&gt;&lt;/c&gt;&lt;c r=&quot;C401&quot; s=&quot;37&quot;&gt;&lt;f&gt;IF(A401&gt;&apos;Property Calculator&apos;!$B$70*12,0,IF(AND(&apos;Property Calculator&apos;!$B$72=1,B401&gt;&apos;Property Calculator&apos;!$B$69),&apos;Property Calculator&apos;!$B$73,&apos;Property Calculator&apos;!$B$65))</f><v>0</v></c><c r="D401" s="72"><f>IF(A401&gt;&apos;Property Calculator&apos;!$B$70*12,0,I400)</f><v>0</v></c><c r="E401" s="72"><f>IF(OR(A401&gt;&apos;Property Calculator&apos;!$B$70*12,D401&lt;=0),0,IF(AND(&apos;Property Calculator&apos;!$B$72=1,B401&gt;&apos;Property Calculator&apos;!$B$69),MIN(D401*C401/12+&apos;Property Calculator&apos;!$B$74/12,D401*(1+C401/12)),MIN(&apos;Property Calculator&apos;!$B$67,D401*(1+C401/12))))</f><v>0</v></c><c r="F401" s="72"><f>IF(OR(A401&gt;&apos;Property Calculator&apos;!$B$70*12,D401&lt;=0),0,D401*C401/12)</f><v>0</v></c><c r="G401" s="72"><f>IF(OR(A401&gt;&apos;Property Calculator&apos;!$B$70*12,D401&lt;=0),0,MAX(0,MIN(D401,E401-F401)))</f><v>0</v></c><c r="H401" s="126"><v>0</v></c><c r="I401" s="72"><f>IF(A401&gt;&apos;Property Calculator&apos;!$B$70*12,0,MAX(0,D401-G401-J401))</f><v>0</v></c><c r="J401" s="72"><f>IF(OR(A401&gt;&apos;Property Calculator&apos;!$B$70*12,D401&lt;=0),0,MIN(H401,MAX(0,D401-G401)))</f><v>0</v></c></row><row r="402" spans="1:10" x14ac:dyDescent="0.25"><c r="A402"><v>399</v></c><c r="B402"><f t="shared" si="6"/>&lt;v&gt;34&lt;/v&gt;&lt;/c&gt;&lt;c r=&quot;C402&quot; s=&quot;37&quot;&gt;&lt;f&gt;IF(A402&gt;&apos;Property Calculator&apos;!$B$70*12,0,IF(AND(&apos;Property Calculator&apos;!$B$72=1,B402&gt;&apos;Property Calculator&apos;!$B$69),&apos;Property Calculator&apos;!$B$73,&apos;Property Calculator&apos;!$B$65))</f><v>0</v></c><c r="D402" s="72"><f>IF(A402&gt;&apos;Property Calculator&apos;!$B$70*12,0,I401)</f><v>0</v></c><c r="E402" s="72"><f>IF(OR(A402&gt;&apos;Property Calculator&apos;!$B$70*12,D402&lt;=0),0,IF(AND(&apos;Property Calculator&apos;!$B$72=1,B402&gt;&apos;Property Calculator&apos;!$B$69),MIN(D402*C402/12+&apos;Property Calculator&apos;!$B$74/12,D402*(1+C402/12)),MIN(&apos;Property Calculator&apos;!$B$67,D402*(1+C402/12))))</f><v>0</v></c><c r="F402" s="72"><f>IF(OR(A402&gt;&apos;Property Calculator&apos;!$B$70*12,D402&lt;=0),0,D402*C402/12)</f><v>0</v></c><c r="G402" s="72"><f>IF(OR(A402&gt;&apos;Property Calculator&apos;!$B$70*12,D402&lt;=0),0,MAX(0,MIN(D402,E402-F402)))</f><v>0</v></c><c r="H402" s="126"><v>0</v></c><c r="I402" s="72"><f>IF(A402&gt;&apos;Property Calculator&apos;!$B$70*12,0,MAX(0,D402-G402-J402))</f><v>0</v></c><c r="J402" s="72"><f>IF(OR(A402&gt;&apos;Property Calculator&apos;!$B$70*12,D402&lt;=0),0,MIN(H402,MAX(0,D402-G402)))</f><v>0</v></c></row><row r="403" spans="1:10" x14ac:dyDescent="0.25"><c r="A403"><v>400</v></c><c r="B403"><f t="shared" si="6"/>&lt;v&gt;34&lt;/v&gt;&lt;/c&gt;&lt;c r=&quot;C403&quot; s=&quot;37&quot;&gt;&lt;f&gt;IF(A403&gt;&apos;Property Calculator&apos;!$B$70*12,0,IF(AND(&apos;Property Calculator&apos;!$B$72=1,B403&gt;&apos;Property Calculator&apos;!$B$69),&apos;Property Calculator&apos;!$B$73,&apos;Property Calculator&apos;!$B$65))</f><v>0</v></c><c r="D403" s="72"><f>IF(A403&gt;&apos;Property Calculator&apos;!$B$70*12,0,I402)</f><v>0</v></c><c r="E403" s="72"><f>IF(OR(A403&gt;&apos;Property Calculator&apos;!$B$70*12,D403&lt;=0),0,IF(AND(&apos;Property Calculator&apos;!$B$72=1,B403&gt;&apos;Property Calculator&apos;!$B$69),MIN(D403*C403/12+&apos;Property Calculator&apos;!$B$74/12,D403*(1+C403/12)),MIN(&apos;Property Calculator&apos;!$B$67,D403*(1+C403/12))))</f><v>0</v></c><c r="F403" s="72"><f>IF(OR(A403&gt;&apos;Property Calculator&apos;!$B$70*12,D403&lt;=0),0,D403*C403/12)</f><v>0</v></c><c r="G403" s="72"><f>IF(OR(A403&gt;&apos;Property Calculator&apos;!$B$70*12,D403&lt;=0),0,MAX(0,MIN(D403,E403-F403)))</f><v>0</v></c><c r="H403" s="126"><v>0</v></c><c r="I403" s="72"><f>IF(A403&gt;&apos;Property Calculator&apos;!$B$70*12,0,MAX(0,D403-G403-J403))</f><v>0</v></c><c r="J403" s="72"><f>IF(OR(A403&gt;&apos;Property Calculator&apos;!$B$70*12,D403&lt;=0),0,MIN(H403,MAX(0,D403-G403)))</f><v>0</v></c></row><row r="404" spans="1:10" x14ac:dyDescent="0.25"><c r="A404"><v>401</v></c><c r="B404"><f t="shared" si="6"/>&lt;v&gt;34&lt;/v&gt;&lt;/c&gt;&lt;c r=&quot;C404&quot; s=&quot;37&quot;&gt;&lt;f&gt;IF(A404&gt;&apos;Property Calculator&apos;!$B$70*12,0,IF(AND(&apos;Property Calculator&apos;!$B$72=1,B404&gt;&apos;Property Calculator&apos;!$B$69),&apos;Property Calculator&apos;!$B$73,&apos;Property Calculator&apos;!$B$65))</f><v>0</v></c><c r="D404" s="72"><f>IF(A404&gt;&apos;Property Calculator&apos;!$B$70*12,0,I403)</f><v>0</v></c><c r="E404" s="72"><f>IF(OR(A404&gt;&apos;Property Calculator&apos;!$B$70*12,D404&lt;=0),0,IF(AND(&apos;Property Calculator&apos;!$B$72=1,B404&gt;&apos;Property Calculator&apos;!$B$69),MIN(D404*C404/12+&apos;Property Calculator&apos;!$B$74/12,D404*(1+C404/12)),MIN(&apos;Property Calculator&apos;!$B$67,D404*(1+C404/12))))</f><v>0</v></c><c r="F404" s="72"><f>IF(OR(A404&gt;&apos;Property Calculator&apos;!$B$70*12,D404&lt;=0),0,D404*C404/12)</f><v>0</v></c><c r="G404" s="72"><f>IF(OR(A404&gt;&apos;Property Calculator&apos;!$B$70*12,D404&lt;=0),0,MAX(0,MIN(D404,E404-F404)))</f><v>0</v></c><c r="H404" s="126"><v>0</v></c><c r="I404" s="72"><f>IF(A404&gt;&apos;Property Calculator&apos;!$B$70*12,0,MAX(0,D404-G404-J404))</f><v>0</v></c><c r="J404" s="72"><f>IF(OR(A404&gt;&apos;Property Calculator&apos;!$B$70*12,D404&lt;=0),0,MIN(H404,MAX(0,D404-G404)))</f><v>0</v></c></row><row r="405" spans="1:10" x14ac:dyDescent="0.25"><c r="A405"><v>402</v></c><c r="B405"><f t="shared" si="6"/>&lt;v&gt;34&lt;/v&gt;&lt;/c&gt;&lt;c r=&quot;C405&quot; s=&quot;37&quot;&gt;&lt;f&gt;IF(A405&gt;&apos;Property Calculator&apos;!$B$70*12,0,IF(AND(&apos;Property Calculator&apos;!$B$72=1,B405&gt;&apos;Property Calculator&apos;!$B$69),&apos;Property Calculator&apos;!$B$73,&apos;Property Calculator&apos;!$B$65))</f><v>0</v></c><c r="D405" s="72"><f>IF(A405&gt;&apos;Property Calculator&apos;!$B$70*12,0,I404)</f><v>0</v></c><c r="E405" s="72"><f>IF(OR(A405&gt;&apos;Property Calculator&apos;!$B$70*12,D405&lt;=0),0,IF(AND(&apos;Property Calculator&apos;!$B$72=1,B405&gt;&apos;Property Calculator&apos;!$B$69),MIN(D405*C405/12+&apos;Property Calculator&apos;!$B$74/12,D405*(1+C405/12)),MIN(&apos;Property Calculator&apos;!$B$67,D405*(1+C405/12))))</f><v>0</v></c><c r="F405" s="72"><f>IF(OR(A405&gt;&apos;Property Calculator&apos;!$B$70*12,D405&lt;=0),0,D405*C405/12)</f><v>0</v></c><c r="G405" s="72"><f>IF(OR(A405&gt;&apos;Property Calculator&apos;!$B$70*12,D405&lt;=0),0,MAX(0,MIN(D405,E405-F405)))</f><v>0</v></c><c r="H405" s="126"><v>0</v></c><c r="I405" s="72"><f>IF(A405&gt;&apos;Property Calculator&apos;!$B$70*12,0,MAX(0,D405-G405-J405))</f><v>0</v></c><c r="J405" s="72"><f>IF(OR(A405&gt;&apos;Property Calculator&apos;!$B$70*12,D405&lt;=0),0,MIN(H405,MAX(0,D405-G405)))</f><v>0</v></c></row><row r="406" spans="1:10" x14ac:dyDescent="0.25"><c r="A406"><v>403</v></c><c r="B406"><f t="shared" si="6"/>&lt;v&gt;34&lt;/v&gt;&lt;/c&gt;&lt;c r=&quot;C406&quot; s=&quot;37&quot;&gt;&lt;f&gt;IF(A406&gt;&apos;Property Calculator&apos;!$B$70*12,0,IF(AND(&apos;Property Calculator&apos;!$B$72=1,B406&gt;&apos;Property Calculator&apos;!$B$69),&apos;Property Calculator&apos;!$B$73,&apos;Property Calculator&apos;!$B$65))</f><v>0</v></c><c r="D406" s="72"><f>IF(A406&gt;&apos;Property Calculator&apos;!$B$70*12,0,I405)</f><v>0</v></c><c r="E406" s="72"><f>IF(OR(A406&gt;&apos;Property Calculator&apos;!$B$70*12,D406&lt;=0),0,IF(AND(&apos;Property Calculator&apos;!$B$72=1,B406&gt;&apos;Property Calculator&apos;!$B$69),MIN(D406*C406/12+&apos;Property Calculator&apos;!$B$74/12,D406*(1+C406/12)),MIN(&apos;Property Calculator&apos;!$B$67,D406*(1+C406/12))))</f><v>0</v></c><c r="F406" s="72"><f>IF(OR(A406&gt;&apos;Property Calculator&apos;!$B$70*12,D406&lt;=0),0,D406*C406/12)</f><v>0</v></c><c r="G406" s="72"><f>IF(OR(A406&gt;&apos;Property Calculator&apos;!$B$70*12,D406&lt;=0),0,MAX(0,MIN(D406,E406-F406)))</f><v>0</v></c><c r="H406" s="126"><v>0</v></c><c r="I406" s="72"><f>IF(A406&gt;&apos;Property Calculator&apos;!$B$70*12,0,MAX(0,D406-G406-J406))</f><v>0</v></c><c r="J406" s="72"><f>IF(OR(A406&gt;&apos;Property Calculator&apos;!$B$70*12,D406&lt;=0),0,MIN(H406,MAX(0,D406-G406)))</f><v>0</v></c></row><row r="407" spans="1:10" x14ac:dyDescent="0.25"><c r="A407"><v>404</v></c><c r="B407"><f t="shared" si="6"/>&lt;v&gt;34&lt;/v&gt;&lt;/c&gt;&lt;c r=&quot;C407&quot; s=&quot;37&quot;&gt;&lt;f&gt;IF(A407&gt;&apos;Property Calculator&apos;!$B$70*12,0,IF(AND(&apos;Property Calculator&apos;!$B$72=1,B407&gt;&apos;Property Calculator&apos;!$B$69),&apos;Property Calculator&apos;!$B$73,&apos;Property Calculator&apos;!$B$65))</f><v>0</v></c><c r="D407" s="72"><f>IF(A407&gt;&apos;Property Calculator&apos;!$B$70*12,0,I406)</f><v>0</v></c><c r="E407" s="72"><f>IF(OR(A407&gt;&apos;Property Calculator&apos;!$B$70*12,D407&lt;=0),0,IF(AND(&apos;Property Calculator&apos;!$B$72=1,B407&gt;&apos;Property Calculator&apos;!$B$69),MIN(D407*C407/12+&apos;Property Calculator&apos;!$B$74/12,D407*(1+C407/12)),MIN(&apos;Property Calculator&apos;!$B$67,D407*(1+C407/12))))</f><v>0</v></c><c r="F407" s="72"><f>IF(OR(A407&gt;&apos;Property Calculator&apos;!$B$70*12,D407&lt;=0),0,D407*C407/12)</f><v>0</v></c><c r="G407" s="72"><f>IF(OR(A407&gt;&apos;Property Calculator&apos;!$B$70*12,D407&lt;=0),0,MAX(0,MIN(D407,E407-F407)))</f><v>0</v></c><c r="H407" s="126"><v>0</v></c><c r="I407" s="72"><f>IF(A407&gt;&apos;Property Calculator&apos;!$B$70*12,0,MAX(0,D407-G407-J407))</f><v>0</v></c><c r="J407" s="72"><f>IF(OR(A407&gt;&apos;Property Calculator&apos;!$B$70*12,D407&lt;=0),0,MIN(H407,MAX(0,D407-G407)))</f><v>0</v></c></row><row r="408" spans="1:10" x14ac:dyDescent="0.25"><c r="A408"><v>405</v></c><c r="B408"><f t="shared" si="6"/>&lt;v&gt;34&lt;/v&gt;&lt;/c&gt;&lt;c r=&quot;C408&quot; s=&quot;37&quot;&gt;&lt;f&gt;IF(A408&gt;&apos;Property Calculator&apos;!$B$70*12,0,IF(AND(&apos;Property Calculator&apos;!$B$72=1,B408&gt;&apos;Property Calculator&apos;!$B$69),&apos;Property Calculator&apos;!$B$73,&apos;Property Calculator&apos;!$B$65))</f><v>0</v></c><c r="D408" s="72"><f>IF(A408&gt;&apos;Property Calculator&apos;!$B$70*12,0,I407)</f><v>0</v></c><c r="E408" s="72"><f>IF(OR(A408&gt;&apos;Property Calculator&apos;!$B$70*12,D408&lt;=0),0,IF(AND(&apos;Property Calculator&apos;!$B$72=1,B408&gt;&apos;Property Calculator&apos;!$B$69),MIN(D408*C408/12+&apos;Property Calculator&apos;!$B$74/12,D408*(1+C408/12)),MIN(&apos;Property Calculator&apos;!$B$67,D408*(1+C408/12))))</f><v>0</v></c><c r="F408" s="72"><f>IF(OR(A408&gt;&apos;Property Calculator&apos;!$B$70*12,D408&lt;=0),0,D408*C408/12)</f><v>0</v></c><c r="G408" s="72"><f>IF(OR(A408&gt;&apos;Property Calculator&apos;!$B$70*12,D408&lt;=0),0,MAX(0,MIN(D408,E408-F408)))</f><v>0</v></c><c r="H408" s="126"><v>0</v></c><c r="I408" s="72"><f>IF(A408&gt;&apos;Property Calculator&apos;!$B$70*12,0,MAX(0,D408-G408-J408))</f><v>0</v></c><c r="J408" s="72"><f>IF(OR(A408&gt;&apos;Property Calculator&apos;!$B$70*12,D408&lt;=0),0,MIN(H408,MAX(0,D408-G408)))</f><v>0</v></c></row><row r="409" spans="1:10" x14ac:dyDescent="0.25"><c r="A409"><v>406</v></c><c r="B409"><f t="shared" si="6"/>&lt;v&gt;34&lt;/v&gt;&lt;/c&gt;&lt;c r=&quot;C409&quot; s=&quot;37&quot;&gt;&lt;f&gt;IF(A409&gt;&apos;Property Calculator&apos;!$B$70*12,0,IF(AND(&apos;Property Calculator&apos;!$B$72=1,B409&gt;&apos;Property Calculator&apos;!$B$69),&apos;Property Calculator&apos;!$B$73,&apos;Property Calculator&apos;!$B$65))</f><v>0</v></c><c r="D409" s="72"><f>IF(A409&gt;&apos;Property Calculator&apos;!$B$70*12,0,I408)</f><v>0</v></c><c r="E409" s="72"><f>IF(OR(A409&gt;&apos;Property Calculator&apos;!$B$70*12,D409&lt;=0),0,IF(AND(&apos;Property Calculator&apos;!$B$72=1,B409&gt;&apos;Property Calculator&apos;!$B$69),MIN(D409*C409/12+&apos;Property Calculator&apos;!$B$74/12,D409*(1+C409/12)),MIN(&apos;Property Calculator&apos;!$B$67,D409*(1+C409/12))))</f><v>0</v></c><c r="F409" s="72"><f>IF(OR(A409&gt;&apos;Property Calculator&apos;!$B$70*12,D409&lt;=0),0,D409*C409/12)</f><v>0</v></c><c r="G409" s="72"><f>IF(OR(A409&gt;&apos;Property Calculator&apos;!$B$70*12,D409&lt;=0),0,MAX(0,MIN(D409,E409-F409)))</f><v>0</v></c><c r="H409" s="126"><v>0</v></c><c r="I409" s="72"><f>IF(A409&gt;&apos;Property Calculator&apos;!$B$70*12,0,MAX(0,D409-G409-J409))</f><v>0</v></c><c r="J409" s="72"><f>IF(OR(A409&gt;&apos;Property Calculator&apos;!$B$70*12,D409&lt;=0),0,MIN(H409,MAX(0,D409-G409)))</f><v>0</v></c></row><row r="410" spans="1:10" x14ac:dyDescent="0.25"><c r="A410"><v>407</v></c><c r="B410"><f t="shared" si="6"/>&lt;v&gt;34&lt;/v&gt;&lt;/c&gt;&lt;c r=&quot;C410&quot; s=&quot;37&quot;&gt;&lt;f&gt;IF(A410&gt;&apos;Property Calculator&apos;!$B$70*12,0,IF(AND(&apos;Property Calculator&apos;!$B$72=1,B410&gt;&apos;Property Calculator&apos;!$B$69),&apos;Property Calculator&apos;!$B$73,&apos;Property Calculator&apos;!$B$65))</f><v>0</v></c><c r="D410" s="72"><f>IF(A410&gt;&apos;Property Calculator&apos;!$B$70*12,0,I409)</f><v>0</v></c><c r="E410" s="72"><f>IF(OR(A410&gt;&apos;Property Calculator&apos;!$B$70*12,D410&lt;=0),0,IF(AND(&apos;Property Calculator&apos;!$B$72=1,B410&gt;&apos;Property Calculator&apos;!$B$69),MIN(D410*C410/12+&apos;Property Calculator&apos;!$B$74/12,D410*(1+C410/12)),MIN(&apos;Property Calculator&apos;!$B$67,D410*(1+C410/12))))</f><v>0</v></c><c r="F410" s="72"><f>IF(OR(A410&gt;&apos;Property Calculator&apos;!$B$70*12,D410&lt;=0),0,D410*C410/12)</f><v>0</v></c><c r="G410" s="72"><f>IF(OR(A410&gt;&apos;Property Calculator&apos;!$B$70*12,D410&lt;=0),0,MAX(0,MIN(D410,E410-F410)))</f><v>0</v></c><c r="H410" s="126"><v>0</v></c><c r="I410" s="72"><f>IF(A410&gt;&apos;Property Calculator&apos;!$B$70*12,0,MAX(0,D410-G410-J410))</f><v>0</v></c><c r="J410" s="72"><f>IF(OR(A410&gt;&apos;Property Calculator&apos;!$B$70*12,D410&lt;=0),0,MIN(H410,MAX(0,D410-G410)))</f><v>0</v></c></row><row r="411" spans="1:10" x14ac:dyDescent="0.25"><c r="A411"><v>408</v></c><c r="B411"><f t="shared" si="6"/>&lt;v&gt;34&lt;/v&gt;&lt;/c&gt;&lt;c r=&quot;C411&quot; s=&quot;37&quot;&gt;&lt;f&gt;IF(A411&gt;&apos;Property Calculator&apos;!$B$70*12,0,IF(AND(&apos;Property Calculator&apos;!$B$72=1,B411&gt;&apos;Property Calculator&apos;!$B$69),&apos;Property Calculator&apos;!$B$73,&apos;Property Calculator&apos;!$B$65))</f><v>0</v></c><c r="D411" s="72"><f>IF(A411&gt;&apos;Property Calculator&apos;!$B$70*12,0,I410)</f><v>0</v></c><c r="E411" s="72"><f>IF(OR(A411&gt;&apos;Property Calculator&apos;!$B$70*12,D411&lt;=0),0,IF(AND(&apos;Property Calculator&apos;!$B$72=1,B411&gt;&apos;Property Calculator&apos;!$B$69),MIN(D411*C411/12+&apos;Property Calculator&apos;!$B$74/12,D411*(1+C411/12)),MIN(&apos;Property Calculator&apos;!$B$67,D411*(1+C411/12))))</f><v>0</v></c><c r="F411" s="72"><f>IF(OR(A411&gt;&apos;Property Calculator&apos;!$B$70*12,D411&lt;=0),0,D411*C411/12)</f><v>0</v></c><c r="G411" s="72"><f>IF(OR(A411&gt;&apos;Property Calculator&apos;!$B$70*12,D411&lt;=0),0,MAX(0,MIN(D411,E411-F411)))</f><v>0</v></c><c r="H411" s="126"><v>0</v></c><c r="I411" s="72"><f>IF(A411&gt;&apos;Property Calculator&apos;!$B$70*12,0,MAX(0,D411-G411-J411))</f><v>0</v></c><c r="J411" s="72"><f>IF(OR(A411&gt;&apos;Property Calculator&apos;!$B$70*12,D411&lt;=0),0,MIN(H411,MAX(0,D411-G411)))</f><v>0</v></c></row><row r="412" spans="1:10" x14ac:dyDescent="0.25"><c r="A412"><v>409</v></c><c r="B412"><f t="shared" si="6"/>&lt;v&gt;35&lt;/v&gt;&lt;/c&gt;&lt;c r=&quot;C412&quot; s=&quot;37&quot;&gt;&lt;f&gt;IF(A412&gt;&apos;Property Calculator&apos;!$B$70*12,0,IF(AND(&apos;Property Calculator&apos;!$B$72=1,B412&gt;&apos;Property Calculator&apos;!$B$69),&apos;Property Calculator&apos;!$B$73,&apos;Property Calculator&apos;!$B$65))</f><v>0</v></c><c r="D412" s="72"><f>IF(A412&gt;&apos;Property Calculator&apos;!$B$70*12,0,I411)</f><v>0</v></c><c r="E412" s="72"><f>IF(OR(A412&gt;&apos;Property Calculator&apos;!$B$70*12,D412&lt;=0),0,IF(AND(&apos;Property Calculator&apos;!$B$72=1,B412&gt;&apos;Property Calculator&apos;!$B$69),MIN(D412*C412/12+&apos;Property Calculator&apos;!$B$74/12,D412*(1+C412/12)),MIN(&apos;Property Calculator&apos;!$B$67,D412*(1+C412/12))))</f><v>0</v></c><c r="F412" s="72"><f>IF(OR(A412&gt;&apos;Property Calculator&apos;!$B$70*12,D412&lt;=0),0,D412*C412/12)</f><v>0</v></c><c r="G412" s="72"><f>IF(OR(A412&gt;&apos;Property Calculator&apos;!$B$70*12,D412&lt;=0),0,MAX(0,MIN(D412,E412-F412)))</f><v>0</v></c><c r="H412" s="126"><v>0</v></c><c r="I412" s="72"><f>IF(A412&gt;&apos;Property Calculator&apos;!$B$70*12,0,MAX(0,D412-G412-J412))</f><v>0</v></c><c r="J412" s="72"><f>IF(OR(A412&gt;&apos;Property Calculator&apos;!$B$70*12,D412&lt;=0),0,MIN(H412,MAX(0,D412-G412)))</f><v>0</v></c></row><row r="413" spans="1:10" x14ac:dyDescent="0.25"><c r="A413"><v>410</v></c><c r="B413"><f t="shared" si="6"/>&lt;v&gt;35&lt;/v&gt;&lt;/c&gt;&lt;c r=&quot;C413&quot; s=&quot;37&quot;&gt;&lt;f&gt;IF(A413&gt;&apos;Property Calculator&apos;!$B$70*12,0,IF(AND(&apos;Property Calculator&apos;!$B$72=1,B413&gt;&apos;Property Calculator&apos;!$B$69),&apos;Property Calculator&apos;!$B$73,&apos;Property Calculator&apos;!$B$65))</f><v>0</v></c><c r="D413" s="72"><f>IF(A413&gt;&apos;Property Calculator&apos;!$B$70*12,0,I412)</f><v>0</v></c><c r="E413" s="72"><f>IF(OR(A413&gt;&apos;Property Calculator&apos;!$B$70*12,D413&lt;=0),0,IF(AND(&apos;Property Calculator&apos;!$B$72=1,B413&gt;&apos;Property Calculator&apos;!$B$69),MIN(D413*C413/12+&apos;Property Calculator&apos;!$B$74/12,D413*(1+C413/12)),MIN(&apos;Property Calculator&apos;!$B$67,D413*(1+C413/12))))</f><v>0</v></c><c r="F413" s="72"><f>IF(OR(A413&gt;&apos;Property Calculator&apos;!$B$70*12,D413&lt;=0),0,D413*C413/12)</f><v>0</v></c><c r="G413" s="72"><f>IF(OR(A413&gt;&apos;Property Calculator&apos;!$B$70*12,D413&lt;=0),0,MAX(0,MIN(D413,E413-F413)))</f><v>0</v></c><c r="H413" s="126"><v>0</v></c><c r="I413" s="72"><f>IF(A413&gt;&apos;Property Calculator&apos;!$B$70*12,0,MAX(0,D413-G413-J413))</f><v>0</v></c><c r="J413" s="72"><f>IF(OR(A413&gt;&apos;Property Calculator&apos;!$B$70*12,D413&lt;=0),0,MIN(H413,MAX(0,D413-G413)))</f><v>0</v></c></row><row r="414" spans="1:10" x14ac:dyDescent="0.25"><c r="A414"><v>411</v></c><c r="B414"><f t="shared" si="6"/>&lt;v&gt;35&lt;/v&gt;&lt;/c&gt;&lt;c r=&quot;C414&quot; s=&quot;37&quot;&gt;&lt;f&gt;IF(A414&gt;&apos;Property Calculator&apos;!$B$70*12,0,IF(AND(&apos;Property Calculator&apos;!$B$72=1,B414&gt;&apos;Property Calculator&apos;!$B$69),&apos;Property Calculator&apos;!$B$73,&apos;Property Calculator&apos;!$B$65))</f><v>0</v></c><c r="D414" s="72"><f>IF(A414&gt;&apos;Property Calculator&apos;!$B$70*12,0,I413)</f><v>0</v></c><c r="E414" s="72"><f>IF(OR(A414&gt;&apos;Property Calculator&apos;!$B$70*12,D414&lt;=0),0,IF(AND(&apos;Property Calculator&apos;!$B$72=1,B414&gt;&apos;Property Calculator&apos;!$B$69),MIN(D414*C414/12+&apos;Property Calculator&apos;!$B$74/12,D414*(1+C414/12)),MIN(&apos;Property Calculator&apos;!$B$67,D414*(1+C414/12))))</f><v>0</v></c><c r="F414" s="72"><f>IF(OR(A414&gt;&apos;Property Calculator&apos;!$B$70*12,D414&lt;=0),0,D414*C414/12)</f><v>0</v></c><c r="G414" s="72"><f>IF(OR(A414&gt;&apos;Property Calculator&apos;!$B$70*12,D414&lt;=0),0,MAX(0,MIN(D414,E414-F414)))</f><v>0</v></c><c r="H414" s="126"><v>0</v></c><c r="I414" s="72"><f>IF(A414&gt;&apos;Property Calculator&apos;!$B$70*12,0,MAX(0,D414-G414-J414))</f><v>0</v></c><c r="J414" s="72"><f>IF(OR(A414&gt;&apos;Property Calculator&apos;!$B$70*12,D414&lt;=0),0,MIN(H414,MAX(0,D414-G414)))</f><v>0</v></c></row><row r="415" spans="1:10" x14ac:dyDescent="0.25"><c r="A415"><v>412</v></c><c r="B415"><f t="shared" si="6"/>&lt;v&gt;35&lt;/v&gt;&lt;/c&gt;&lt;c r=&quot;C415&quot; s=&quot;37&quot;&gt;&lt;f&gt;IF(A415&gt;&apos;Property Calculator&apos;!$B$70*12,0,IF(AND(&apos;Property Calculator&apos;!$B$72=1,B415&gt;&apos;Property Calculator&apos;!$B$69),&apos;Property Calculator&apos;!$B$73,&apos;Property Calculator&apos;!$B$65))</f><v>0</v></c><c r="D415" s="72"><f>IF(A415&gt;&apos;Property Calculator&apos;!$B$70*12,0,I414)</f><v>0</v></c><c r="E415" s="72"><f>IF(OR(A415&gt;&apos;Property Calculator&apos;!$B$70*12,D415&lt;=0),0,IF(AND(&apos;Property Calculator&apos;!$B$72=1,B415&gt;&apos;Property Calculator&apos;!$B$69),MIN(D415*C415/12+&apos;Property Calculator&apos;!$B$74/12,D415*(1+C415/12)),MIN(&apos;Property Calculator&apos;!$B$67,D415*(1+C415/12))))</f><v>0</v></c><c r="F415" s="72"><f>IF(OR(A415&gt;&apos;Property Calculator&apos;!$B$70*12,D415&lt;=0),0,D415*C415/12)</f><v>0</v></c><c r="G415" s="72"><f>IF(OR(A415&gt;&apos;Property Calculator&apos;!$B$70*12,D415&lt;=0),0,MAX(0,MIN(D415,E415-F415)))</f><v>0</v></c><c r="H415" s="126"><v>0</v></c><c r="I415" s="72"><f>IF(A415&gt;&apos;Property Calculator&apos;!$B$70*12,0,MAX(0,D415-G415-J415))</f><v>0</v></c><c r="J415" s="72"><f>IF(OR(A415&gt;&apos;Property Calculator&apos;!$B$70*12,D415&lt;=0),0,MIN(H415,MAX(0,D415-G415)))</f><v>0</v></c></row><row r="416" spans="1:10" x14ac:dyDescent="0.25"><c r="A416"><v>413</v></c><c r="B416"><f t="shared" si="6"/>&lt;v&gt;35&lt;/v&gt;&lt;/c&gt;&lt;c r=&quot;C416&quot; s=&quot;37&quot;&gt;&lt;f&gt;IF(A416&gt;&apos;Property Calculator&apos;!$B$70*12,0,IF(AND(&apos;Property Calculator&apos;!$B$72=1,B416&gt;&apos;Property Calculator&apos;!$B$69),&apos;Property Calculator&apos;!$B$73,&apos;Property Calculator&apos;!$B$65))</f><v>0</v></c><c r="D416" s="72"><f>IF(A416&gt;&apos;Property Calculator&apos;!$B$70*12,0,I415)</f><v>0</v></c><c r="E416" s="72"><f>IF(OR(A416&gt;&apos;Property Calculator&apos;!$B$70*12,D416&lt;=0),0,IF(AND(&apos;Property Calculator&apos;!$B$72=1,B416&gt;&apos;Property Calculator&apos;!$B$69),MIN(D416*C416/12+&apos;Property Calculator&apos;!$B$74/12,D416*(1+C416/12)),MIN(&apos;Property Calculator&apos;!$B$67,D416*(1+C416/12))))</f><v>0</v></c><c r="F416" s="72"><f>IF(OR(A416&gt;&apos;Property Calculator&apos;!$B$70*12,D416&lt;=0),0,D416*C416/12)</f><v>0</v></c><c r="G416" s="72"><f>IF(OR(A416&gt;&apos;Property Calculator&apos;!$B$70*12,D416&lt;=0),0,MAX(0,MIN(D416,E416-F416)))</f><v>0</v></c><c r="H416" s="126"><v>0</v></c><c r="I416" s="72"><f>IF(A416&gt;&apos;Property Calculator&apos;!$B$70*12,0,MAX(0,D416-G416-J416))</f><v>0</v></c><c r="J416" s="72"><f>IF(OR(A416&gt;&apos;Property Calculator&apos;!$B$70*12,D416&lt;=0),0,MIN(H416,MAX(0,D416-G416)))</f><v>0</v></c></row><row r="417" spans="1:10" x14ac:dyDescent="0.25"><c r="A417"><v>414</v></c><c r="B417"><f t="shared" si="6"/>&lt;v&gt;35&lt;/v&gt;&lt;/c&gt;&lt;c r=&quot;C417&quot; s=&quot;37&quot;&gt;&lt;f&gt;IF(A417&gt;&apos;Property Calculator&apos;!$B$70*12,0,IF(AND(&apos;Property Calculator&apos;!$B$72=1,B417&gt;&apos;Property Calculator&apos;!$B$69),&apos;Property Calculator&apos;!$B$73,&apos;Property Calculator&apos;!$B$65))</f><v>0</v></c><c r="D417" s="72"><f>IF(A417&gt;&apos;Property Calculator&apos;!$B$70*12,0,I416)</f><v>0</v></c><c r="E417" s="72"><f>IF(OR(A417&gt;&apos;Property Calculator&apos;!$B$70*12,D417&lt;=0),0,IF(AND(&apos;Property Calculator&apos;!$B$72=1,B417&gt;&apos;Property Calculator&apos;!$B$69),MIN(D417*C417/12+&apos;Property Calculator&apos;!$B$74/12,D417*(1+C417/12)),MIN(&apos;Property Calculator&apos;!$B$67,D417*(1+C417/12))))</f><v>0</v></c><c r="F417" s="72"><f>IF(OR(A417&gt;&apos;Property Calculator&apos;!$B$70*12,D417&lt;=0),0,D417*C417/12)</f><v>0</v></c><c r="G417" s="72"><f>IF(OR(A417&gt;&apos;Property Calculator&apos;!$B$70*12,D417&lt;=0),0,MAX(0,MIN(D417,E417-F417)))</f><v>0</v></c><c r="H417" s="126"><v>0</v></c><c r="I417" s="72"><f>IF(A417&gt;&apos;Property Calculator&apos;!$B$70*12,0,MAX(0,D417-G417-J417))</f><v>0</v></c><c r="J417" s="72"><f>IF(OR(A417&gt;&apos;Property Calculator&apos;!$B$70*12,D417&lt;=0),0,MIN(H417,MAX(0,D417-G417)))</f><v>0</v></c></row><row r="418" spans="1:10" x14ac:dyDescent="0.25"><c r="A418"><v>415</v></c><c r="B418"><f t="shared" si="6"/>&lt;v&gt;35&lt;/v&gt;&lt;/c&gt;&lt;c r=&quot;C418&quot; s=&quot;37&quot;&gt;&lt;f&gt;IF(A418&gt;&apos;Property Calculator&apos;!$B$70*12,0,IF(AND(&apos;Property Calculator&apos;!$B$72=1,B418&gt;&apos;Property Calculator&apos;!$B$69),&apos;Property Calculator&apos;!$B$73,&apos;Property Calculator&apos;!$B$65))</f><v>0</v></c><c r="D418" s="72"><f>IF(A418&gt;&apos;Property Calculator&apos;!$B$70*12,0,I417)</f><v>0</v></c><c r="E418" s="72"><f>IF(OR(A418&gt;&apos;Property Calculator&apos;!$B$70*12,D418&lt;=0),0,IF(AND(&apos;Property Calculator&apos;!$B$72=1,B418&gt;&apos;Property Calculator&apos;!$B$69),MIN(D418*C418/12+&apos;Property Calculator&apos;!$B$74/12,D418*(1+C418/12)),MIN(&apos;Property Calculator&apos;!$B$67,D418*(1+C418/12))))</f><v>0</v></c><c r="F418" s="72"><f>IF(OR(A418&gt;&apos;Property Calculator&apos;!$B$70*12,D418&lt;=0),0,D418*C418/12)</f><v>0</v></c><c r="G418" s="72"><f>IF(OR(A418&gt;&apos;Property Calculator&apos;!$B$70*12,D418&lt;=0),0,MAX(0,MIN(D418,E418-F418)))</f><v>0</v></c><c r="H418" s="126"><v>0</v></c><c r="I418" s="72"><f>IF(A418&gt;&apos;Property Calculator&apos;!$B$70*12,0,MAX(0,D418-G418-J418))</f><v>0</v></c><c r="J418" s="72"><f>IF(OR(A418&gt;&apos;Property Calculator&apos;!$B$70*12,D418&lt;=0),0,MIN(H418,MAX(0,D418-G418)))</f><v>0</v></c></row><row r="419" spans="1:10" x14ac:dyDescent="0.25"><c r="A419"><v>416</v></c><c r="B419"><f t="shared" si="6"/>&lt;v&gt;35&lt;/v&gt;&lt;/c&gt;&lt;c r=&quot;C419&quot; s=&quot;37&quot;&gt;&lt;f&gt;IF(A419&gt;&apos;Property Calculator&apos;!$B$70*12,0,IF(AND(&apos;Property Calculator&apos;!$B$72=1,B419&gt;&apos;Property Calculator&apos;!$B$69),&apos;Property Calculator&apos;!$B$73,&apos;Property Calculator&apos;!$B$65))</f><v>0</v></c><c r="D419" s="72"><f>IF(A419&gt;&apos;Property Calculator&apos;!$B$70*12,0,I418)</f><v>0</v></c><c r="E419" s="72"><f>IF(OR(A419&gt;&apos;Property Calculator&apos;!$B$70*12,D419&lt;=0),0,IF(AND(&apos;Property Calculator&apos;!$B$72=1,B419&gt;&apos;Property Calculator&apos;!$B$69),MIN(D419*C419/12+&apos;Property Calculator&apos;!$B$74/12,D419*(1+C419/12)),MIN(&apos;Property Calculator&apos;!$B$67,D419*(1+C419/12))))</f><v>0</v></c><c r="F419" s="72"><f>IF(OR(A419&gt;&apos;Property Calculator&apos;!$B$70*12,D419&lt;=0),0,D419*C419/12)</f><v>0</v></c><c r="G419" s="72"><f>IF(OR(A419&gt;&apos;Property Calculator&apos;!$B$70*12,D419&lt;=0),0,MAX(0,MIN(D419,E419-F419)))</f><v>0</v></c><c r="H419" s="126"><v>0</v></c><c r="I419" s="72"><f>IF(A419&gt;&apos;Property Calculator&apos;!$B$70*12,0,MAX(0,D419-G419-J419))</f><v>0</v></c><c r="J419" s="72"><f>IF(OR(A419&gt;&apos;Property Calculator&apos;!$B$70*12,D419&lt;=0),0,MIN(H419,MAX(0,D419-G419)))</f><v>0</v></c></row><row r="420" spans="1:10" x14ac:dyDescent="0.25"><c r="A420"><v>417</v></c><c r="B420"><f t="shared" si="6"/>&lt;v&gt;35&lt;/v&gt;&lt;/c&gt;&lt;c r=&quot;C420&quot; s=&quot;37&quot;&gt;&lt;f&gt;IF(A420&gt;&apos;Property Calculator&apos;!$B$70*12,0,IF(AND(&apos;Property Calculator&apos;!$B$72=1,B420&gt;&apos;Property Calculator&apos;!$B$69),&apos;Property Calculator&apos;!$B$73,&apos;Property Calculator&apos;!$B$65))</f><v>0</v></c><c r="D420" s="72"><f>IF(A420&gt;&apos;Property Calculator&apos;!$B$70*12,0,I419)</f><v>0</v></c><c r="E420" s="72"><f>IF(OR(A420&gt;&apos;Property Calculator&apos;!$B$70*12,D420&lt;=0),0,IF(AND(&apos;Property Calculator&apos;!$B$72=1,B420&gt;&apos;Property Calculator&apos;!$B$69),MIN(D420*C420/12+&apos;Property Calculator&apos;!$B$74/12,D420*(1+C420/12)),MIN(&apos;Property Calculator&apos;!$B$67,D420*(1+C420/12))))</f><v>0</v></c><c r="F420" s="72"><f>IF(OR(A420&gt;&apos;Property Calculator&apos;!$B$70*12,D420&lt;=0),0,D420*C420/12)</f><v>0</v></c><c r="G420" s="72"><f>IF(OR(A420&gt;&apos;Property Calculator&apos;!$B$70*12,D420&lt;=0),0,MAX(0,MIN(D420,E420-F420)))</f><v>0</v></c><c r="H420" s="126"><v>0</v></c><c r="I420" s="72"><f>IF(A420&gt;&apos;Property Calculator&apos;!$B$70*12,0,MAX(0,D420-G420-J420))</f><v>0</v></c><c r="J420" s="72"><f>IF(OR(A420&gt;&apos;Property Calculator&apos;!$B$70*12,D420&lt;=0),0,MIN(H420,MAX(0,D420-G420)))</f><v>0</v></c></row><row r="421" spans="1:10" x14ac:dyDescent="0.25"><c r="A421"><v>418</v></c><c r="B421"><f t="shared" si="6"/>&lt;v&gt;35&lt;/v&gt;&lt;/c&gt;&lt;c r=&quot;C421&quot; s=&quot;37&quot;&gt;&lt;f&gt;IF(A421&gt;&apos;Property Calculator&apos;!$B$70*12,0,IF(AND(&apos;Property Calculator&apos;!$B$72=1,B421&gt;&apos;Property Calculator&apos;!$B$69),&apos;Property Calculator&apos;!$B$73,&apos;Property Calculator&apos;!$B$65))</f><v>0</v></c><c r="D421" s="72"><f>IF(A421&gt;&apos;Property Calculator&apos;!$B$70*12,0,I420)</f><v>0</v></c><c r="E421" s="72"><f>IF(OR(A421&gt;&apos;Property Calculator&apos;!$B$70*12,D421&lt;=0),0,IF(AND(&apos;Property Calculator&apos;!$B$72=1,B421&gt;&apos;Property Calculator&apos;!$B$69),MIN(D421*C421/12+&apos;Property Calculator&apos;!$B$74/12,D421*(1+C421/12)),MIN(&apos;Property Calculator&apos;!$B$67,D421*(1+C421/12))))</f><v>0</v></c><c r="F421" s="72"><f>IF(OR(A421&gt;&apos;Property Calculator&apos;!$B$70*12,D421&lt;=0),0,D421*C421/12)</f><v>0</v></c><c r="G421" s="72"><f>IF(OR(A421&gt;&apos;Property Calculator&apos;!$B$70*12,D421&lt;=0),0,MAX(0,MIN(D421,E421-F421)))</f><v>0</v></c><c r="H421" s="126"><v>0</v></c><c r="I421" s="72"><f>IF(A421&gt;&apos;Property Calculator&apos;!$B$70*12,0,MAX(0,D421-G421-J421))</f><v>0</v></c><c r="J421" s="72"><f>IF(OR(A421&gt;&apos;Property Calculator&apos;!$B$70*12,D421&lt;=0),0,MIN(H421,MAX(0,D421-G421)))</f><v>0</v></c></row><row r="422" spans="1:10" x14ac:dyDescent="0.25"><c r="A422"><v>419</v></c><c r="B422"><f t="shared" si="6"/>&lt;v&gt;35&lt;/v&gt;&lt;/c&gt;&lt;c r=&quot;C422&quot; s=&quot;37&quot;&gt;&lt;f&gt;IF(A422&gt;&apos;Property Calculator&apos;!$B$70*12,0,IF(AND(&apos;Property Calculator&apos;!$B$72=1,B422&gt;&apos;Property Calculator&apos;!$B$69),&apos;Property Calculator&apos;!$B$73,&apos;Property Calculator&apos;!$B$65))</f><v>0</v></c><c r="D422" s="72"><f>IF(A422&gt;&apos;Property Calculator&apos;!$B$70*12,0,I421)</f><v>0</v></c><c r="E422" s="72"><f>IF(OR(A422&gt;&apos;Property Calculator&apos;!$B$70*12,D422&lt;=0),0,IF(AND(&apos;Property Calculator&apos;!$B$72=1,B422&gt;&apos;Property Calculator&apos;!$B$69),MIN(D422*C422/12+&apos;Property Calculator&apos;!$B$74/12,D422*(1+C422/12)),MIN(&apos;Property Calculator&apos;!$B$67,D422*(1+C422/12))))</f><v>0</v></c><c r="F422" s="72"><f>IF(OR(A422&gt;&apos;Property Calculator&apos;!$B$70*12,D422&lt;=0),0,D422*C422/12)</f><v>0</v></c><c r="G422" s="72"><f>IF(OR(A422&gt;&apos;Property Calculator&apos;!$B$70*12,D422&lt;=0),0,MAX(0,MIN(D422,E422-F422)))</f><v>0</v></c><c r="H422" s="126"><v>0</v></c><c r="I422" s="72"><f>IF(A422&gt;&apos;Property Calculator&apos;!$B$70*12,0,MAX(0,D422-G422-J422))</f><v>0</v></c><c r="J422" s="72"><f>IF(OR(A422&gt;&apos;Property Calculator&apos;!$B$70*12,D422&lt;=0),0,MIN(H422,MAX(0,D422-G422)))</f><v>0</v></c></row><row r="423" spans="1:10" x14ac:dyDescent="0.25"><c r="A423"><v>420</v></c><c r="B423"><f t="shared" si="6"/>&lt;v&gt;35&lt;/v&gt;&lt;/c&gt;&lt;c r=&quot;C423&quot; s=&quot;37&quot;&gt;&lt;f&gt;IF(A423&gt;&apos;Property Calculator&apos;!$B$70*12,0,IF(AND(&apos;Property Calculator&apos;!$B$72=1,B423&gt;&apos;Property Calculator&apos;!$B$69),&apos;Property Calculator&apos;!$B$73,&apos;Property Calculator&apos;!$B$65))</f><v>0</v></c><c r="D423" s="72"><f>IF(A423&gt;&apos;Property Calculator&apos;!$B$70*12,0,I422)</f><v>0</v></c><c r="E423" s="72"><f>IF(OR(A423&gt;&apos;Property Calculator&apos;!$B$70*12,D423&lt;=0),0,IF(AND(&apos;Property Calculator&apos;!$B$72=1,B423&gt;&apos;Property Calculator&apos;!$B$69),MIN(D423*C423/12+&apos;Property Calculator&apos;!$B$74/12,D423*(1+C423/12)),MIN(&apos;Property Calculator&apos;!$B$67,D423*(1+C423/12))))</f><v>0</v></c><c r="F423" s="72"><f>IF(OR(A423&gt;&apos;Property Calculator&apos;!$B$70*12,D423&lt;=0),0,D423*C423/12)</f><v>0</v></c><c r="G423" s="72"><f>IF(OR(A423&gt;&apos;Property Calculator&apos;!$B$70*12,D423&lt;=0),0,MAX(0,MIN(D423,E423-F423)))</f><v>0</v></c><c r="H423" s="126"><v>0</v></c><c r="I423" s="72"><f>IF(A423&gt;&apos;Property Calculator&apos;!$B$70*12,0,MAX(0,D423-G423-J423))</f><v>0</v></c><c r="J423" s="72"><f>IF(OR(A423&gt;&apos;Property Calculator&apos;!$B$70*12,D423&lt;=0),0,MIN(H423,MAX(0,D423-G423)))</f><v>0</v></c></row><row r="424" spans="1:10" x14ac:dyDescent="0.25"><c r="A424"><v>421</v></c><c r="B424"><f t="shared" si="6"/>&lt;v&gt;36&lt;/v&gt;&lt;/c&gt;&lt;c r=&quot;C424&quot; s=&quot;37&quot;&gt;&lt;f&gt;IF(A424&gt;&apos;Property Calculator&apos;!$B$70*12,0,IF(AND(&apos;Property Calculator&apos;!$B$72=1,B424&gt;&apos;Property Calculator&apos;!$B$69),&apos;Property Calculator&apos;!$B$73,&apos;Property Calculator&apos;!$B$65))</f><v>0</v></c><c r="D424" s="72"><f>IF(A424&gt;&apos;Property Calculator&apos;!$B$70*12,0,I423)</f><v>0</v></c><c r="E424" s="72"><f>IF(OR(A424&gt;&apos;Property Calculator&apos;!$B$70*12,D424&lt;=0),0,IF(AND(&apos;Property Calculator&apos;!$B$72=1,B424&gt;&apos;Property Calculator&apos;!$B$69),MIN(D424*C424/12+&apos;Property Calculator&apos;!$B$74/12,D424*(1+C424/12)),MIN(&apos;Property Calculator&apos;!$B$67,D424*(1+C424/12))))</f><v>0</v></c><c r="F424" s="72"><f>IF(OR(A424&gt;&apos;Property Calculator&apos;!$B$70*12,D424&lt;=0),0,D424*C424/12)</f><v>0</v></c><c r="G424" s="72"><f>IF(OR(A424&gt;&apos;Property Calculator&apos;!$B$70*12,D424&lt;=0),0,MAX(0,MIN(D424,E424-F424)))</f><v>0</v></c><c r="H424" s="126"><v>0</v></c><c r="I424" s="72"><f>IF(A424&gt;&apos;Property Calculator&apos;!$B$70*12,0,MAX(0,D424-G424-J424))</f><v>0</v></c><c r="J424" s="72"><f>IF(OR(A424&gt;&apos;Property Calculator&apos;!$B$70*12,D424&lt;=0),0,MIN(H424,MAX(0,D424-G424)))</f><v>0</v></c></row><row r="425" spans="1:10" x14ac:dyDescent="0.25"><c r="A425"><v>422</v></c><c r="B425"><f t="shared" si="6"/>&lt;v&gt;36&lt;/v&gt;&lt;/c&gt;&lt;c r=&quot;C425&quot; s=&quot;37&quot;&gt;&lt;f&gt;IF(A425&gt;&apos;Property Calculator&apos;!$B$70*12,0,IF(AND(&apos;Property Calculator&apos;!$B$72=1,B425&gt;&apos;Property Calculator&apos;!$B$69),&apos;Property Calculator&apos;!$B$73,&apos;Property Calculator&apos;!$B$65))</f><v>0</v></c><c r="D425" s="72"><f>IF(A425&gt;&apos;Property Calculator&apos;!$B$70*12,0,I424)</f><v>0</v></c><c r="E425" s="72"><f>IF(OR(A425&gt;&apos;Property Calculator&apos;!$B$70*12,D425&lt;=0),0,IF(AND(&apos;Property Calculator&apos;!$B$72=1,B425&gt;&apos;Property Calculator&apos;!$B$69),MIN(D425*C425/12+&apos;Property Calculator&apos;!$B$74/12,D425*(1+C425/12)),MIN(&apos;Property Calculator&apos;!$B$67,D425*(1+C425/12))))</f><v>0</v></c><c r="F425" s="72"><f>IF(OR(A425&gt;&apos;Property Calculator&apos;!$B$70*12,D425&lt;=0),0,D425*C425/12)</f><v>0</v></c><c r="G425" s="72"><f>IF(OR(A425&gt;&apos;Property Calculator&apos;!$B$70*12,D425&lt;=0),0,MAX(0,MIN(D425,E425-F425)))</f><v>0</v></c><c r="H425" s="126"><v>0</v></c><c r="I425" s="72"><f>IF(A425&gt;&apos;Property Calculator&apos;!$B$70*12,0,MAX(0,D425-G425-J425))</f><v>0</v></c><c r="J425" s="72"><f>IF(OR(A425&gt;&apos;Property Calculator&apos;!$B$70*12,D425&lt;=0),0,MIN(H425,MAX(0,D425-G425)))</f><v>0</v></c></row><row r="426" spans="1:10" x14ac:dyDescent="0.25"><c r="A426"><v>423</v></c><c r="B426"><f t="shared" si="6"/>&lt;v&gt;36&lt;/v&gt;&lt;/c&gt;&lt;c r=&quot;C426&quot; s=&quot;37&quot;&gt;&lt;f&gt;IF(A426&gt;&apos;Property Calculator&apos;!$B$70*12,0,IF(AND(&apos;Property Calculator&apos;!$B$72=1,B426&gt;&apos;Property Calculator&apos;!$B$69),&apos;Property Calculator&apos;!$B$73,&apos;Property Calculator&apos;!$B$65))</f><v>0</v></c><c r="D426" s="72"><f>IF(A426&gt;&apos;Property Calculator&apos;!$B$70*12,0,I425)</f><v>0</v></c><c r="E426" s="72"><f>IF(OR(A426&gt;&apos;Property Calculator&apos;!$B$70*12,D426&lt;=0),0,IF(AND(&apos;Property Calculator&apos;!$B$72=1,B426&gt;&apos;Property Calculator&apos;!$B$69),MIN(D426*C426/12+&apos;Property Calculator&apos;!$B$74/12,D426*(1+C426/12)),MIN(&apos;Property Calculator&apos;!$B$67,D426*(1+C426/12))))</f><v>0</v></c><c r="F426" s="72"><f>IF(OR(A426&gt;&apos;Property Calculator&apos;!$B$70*12,D426&lt;=0),0,D426*C426/12)</f><v>0</v></c><c r="G426" s="72"><f>IF(OR(A426&gt;&apos;Property Calculator&apos;!$B$70*12,D426&lt;=0),0,MAX(0,MIN(D426,E426-F426)))</f><v>0</v></c><c r="H426" s="126"><v>0</v></c><c r="I426" s="72"><f>IF(A426&gt;&apos;Property Calculator&apos;!$B$70*12,0,MAX(0,D426-G426-J426))</f><v>0</v></c><c r="J426" s="72"><f>IF(OR(A426&gt;&apos;Property Calculator&apos;!$B$70*12,D426&lt;=0),0,MIN(H426,MAX(0,D426-G426)))</f><v>0</v></c></row><row r="427" spans="1:10" x14ac:dyDescent="0.25"><c r="A427"><v>424</v></c><c r="B427"><f t="shared" si="6"/>&lt;v&gt;36&lt;/v&gt;&lt;/c&gt;&lt;c r=&quot;C427&quot; s=&quot;37&quot;&gt;&lt;f&gt;IF(A427&gt;&apos;Property Calculator&apos;!$B$70*12,0,IF(AND(&apos;Property Calculator&apos;!$B$72=1,B427&gt;&apos;Property Calculator&apos;!$B$69),&apos;Property Calculator&apos;!$B$73,&apos;Property Calculator&apos;!$B$65))</f><v>0</v></c><c r="D427" s="72"><f>IF(A427&gt;&apos;Property Calculator&apos;!$B$70*12,0,I426)</f><v>0</v></c><c r="E427" s="72"><f>IF(OR(A427&gt;&apos;Property Calculator&apos;!$B$70*12,D427&lt;=0),0,IF(AND(&apos;Property Calculator&apos;!$B$72=1,B427&gt;&apos;Property Calculator&apos;!$B$69),MIN(D427*C427/12+&apos;Property Calculator&apos;!$B$74/12,D427*(1+C427/12)),MIN(&apos;Property Calculator&apos;!$B$67,D427*(1+C427/12))))</f><v>0</v></c><c r="F427" s="72"><f>IF(OR(A427&gt;&apos;Property Calculator&apos;!$B$70*12,D427&lt;=0),0,D427*C427/12)</f><v>0</v></c><c r="G427" s="72"><f>IF(OR(A427&gt;&apos;Property Calculator&apos;!$B$70*12,D427&lt;=0),0,MAX(0,MIN(D427,E427-F427)))</f><v>0</v></c><c r="H427" s="126"><v>0</v></c><c r="I427" s="72"><f>IF(A427&gt;&apos;Property Calculator&apos;!$B$70*12,0,MAX(0,D427-G427-J427))</f><v>0</v></c><c r="J427" s="72"><f>IF(OR(A427&gt;&apos;Property Calculator&apos;!$B$70*12,D427&lt;=0),0,MIN(H427,MAX(0,D427-G427)))</f><v>0</v></c></row><row r="428" spans="1:10" x14ac:dyDescent="0.25"><c r="A428"><v>425</v></c><c r="B428"><f t="shared" si="6"/>&lt;v&gt;36&lt;/v&gt;&lt;/c&gt;&lt;c r=&quot;C428&quot; s=&quot;37&quot;&gt;&lt;f&gt;IF(A428&gt;&apos;Property Calculator&apos;!$B$70*12,0,IF(AND(&apos;Property Calculator&apos;!$B$72=1,B428&gt;&apos;Property Calculator&apos;!$B$69),&apos;Property Calculator&apos;!$B$73,&apos;Property Calculator&apos;!$B$65))</f><v>0</v></c><c r="D428" s="72"><f>IF(A428&gt;&apos;Property Calculator&apos;!$B$70*12,0,I427)</f><v>0</v></c><c r="E428" s="72"><f>IF(OR(A428&gt;&apos;Property Calculator&apos;!$B$70*12,D428&lt;=0),0,IF(AND(&apos;Property Calculator&apos;!$B$72=1,B428&gt;&apos;Property Calculator&apos;!$B$69),MIN(D428*C428/12+&apos;Property Calculator&apos;!$B$74/12,D428*(1+C428/12)),MIN(&apos;Property Calculator&apos;!$B$67,D428*(1+C428/12))))</f><v>0</v></c><c r="F428" s="72"><f>IF(OR(A428&gt;&apos;Property Calculator&apos;!$B$70*12,D428&lt;=0),0,D428*C428/12)</f><v>0</v></c><c r="G428" s="72"><f>IF(OR(A428&gt;&apos;Property Calculator&apos;!$B$70*12,D428&lt;=0),0,MAX(0,MIN(D428,E428-F428)))</f><v>0</v></c><c r="H428" s="126"><v>0</v></c><c r="I428" s="72"><f>IF(A428&gt;&apos;Property Calculator&apos;!$B$70*12,0,MAX(0,D428-G428-J428))</f><v>0</v></c><c r="J428" s="72"><f>IF(OR(A428&gt;&apos;Property Calculator&apos;!$B$70*12,D428&lt;=0),0,MIN(H428,MAX(0,D428-G428)))</f><v>0</v></c></row><row r="429" spans="1:10" x14ac:dyDescent="0.25"><c r="A429"><v>426</v></c><c r="B429"><f t="shared" si="6"/>&lt;v&gt;36&lt;/v&gt;&lt;/c&gt;&lt;c r=&quot;C429&quot; s=&quot;37&quot;&gt;&lt;f&gt;IF(A429&gt;&apos;Property Calculator&apos;!$B$70*12,0,IF(AND(&apos;Property Calculator&apos;!$B$72=1,B429&gt;&apos;Property Calculator&apos;!$B$69),&apos;Property Calculator&apos;!$B$73,&apos;Property Calculator&apos;!$B$65))</f><v>0</v></c><c r="D429" s="72"><f>IF(A429&gt;&apos;Property Calculator&apos;!$B$70*12,0,I428)</f><v>0</v></c><c r="E429" s="72"><f>IF(OR(A429&gt;&apos;Property Calculator&apos;!$B$70*12,D429&lt;=0),0,IF(AND(&apos;Property Calculator&apos;!$B$72=1,B429&gt;&apos;Property Calculator&apos;!$B$69),MIN(D429*C429/12+&apos;Property Calculator&apos;!$B$74/12,D429*(1+C429/12)),MIN(&apos;Property Calculator&apos;!$B$67,D429*(1+C429/12))))</f><v>0</v></c><c r="F429" s="72"><f>IF(OR(A429&gt;&apos;Property Calculator&apos;!$B$70*12,D429&lt;=0),0,D429*C429/12)</f><v>0</v></c><c r="G429" s="72"><f>IF(OR(A429&gt;&apos;Property Calculator&apos;!$B$70*12,D429&lt;=0),0,MAX(0,MIN(D429,E429-F429)))</f><v>0</v></c><c r="H429" s="126"><v>0</v></c><c r="I429" s="72"><f>IF(A429&gt;&apos;Property Calculator&apos;!$B$70*12,0,MAX(0,D429-G429-J429))</f><v>0</v></c><c r="J429" s="72"><f>IF(OR(A429&gt;&apos;Property Calculator&apos;!$B$70*12,D429&lt;=0),0,MIN(H429,MAX(0,D429-G429)))</f><v>0</v></c></row><row r="430" spans="1:10" x14ac:dyDescent="0.25"><c r="A430"><v>427</v></c><c r="B430"><f t="shared" si="6"/>&lt;v&gt;36&lt;/v&gt;&lt;/c&gt;&lt;c r=&quot;C430&quot; s=&quot;37&quot;&gt;&lt;f&gt;IF(A430&gt;&apos;Property Calculator&apos;!$B$70*12,0,IF(AND(&apos;Property Calculator&apos;!$B$72=1,B430&gt;&apos;Property Calculator&apos;!$B$69),&apos;Property Calculator&apos;!$B$73,&apos;Property Calculator&apos;!$B$65))</f><v>0</v></c><c r="D430" s="72"><f>IF(A430&gt;&apos;Property Calculator&apos;!$B$70*12,0,I429)</f><v>0</v></c><c r="E430" s="72"><f>IF(OR(A430&gt;&apos;Property Calculator&apos;!$B$70*12,D430&lt;=0),0,IF(AND(&apos;Property Calculator&apos;!$B$72=1,B430&gt;&apos;Property Calculator&apos;!$B$69),MIN(D430*C430/12+&apos;Property Calculator&apos;!$B$74/12,D430*(1+C430/12)),MIN(&apos;Property Calculator&apos;!$B$67,D430*(1+C430/12))))</f><v>0</v></c><c r="F430" s="72"><f>IF(OR(A430&gt;&apos;Property Calculator&apos;!$B$70*12,D430&lt;=0),0,D430*C430/12)</f><v>0</v></c><c r="G430" s="72"><f>IF(OR(A430&gt;&apos;Property Calculator&apos;!$B$70*12,D430&lt;=0),0,MAX(0,MIN(D430,E430-F430)))</f><v>0</v></c><c r="H430" s="126"><v>0</v></c><c r="I430" s="72"><f>IF(A430&gt;&apos;Property Calculator&apos;!$B$70*12,0,MAX(0,D430-G430-J430))</f><v>0</v></c><c r="J430" s="72"><f>IF(OR(A430&gt;&apos;Property Calculator&apos;!$B$70*12,D430&lt;=0),0,MIN(H430,MAX(0,D430-G430)))</f><v>0</v></c></row><row r="431" spans="1:10" x14ac:dyDescent="0.25"><c r="A431"><v>428</v></c><c r="B431"><f t="shared" si="6"/>&lt;v&gt;36&lt;/v&gt;&lt;/c&gt;&lt;c r=&quot;C431&quot; s=&quot;37&quot;&gt;&lt;f&gt;IF(A431&gt;&apos;Property Calculator&apos;!$B$70*12,0,IF(AND(&apos;Property Calculator&apos;!$B$72=1,B431&gt;&apos;Property Calculator&apos;!$B$69),&apos;Property Calculator&apos;!$B$73,&apos;Property Calculator&apos;!$B$65))</f><v>0</v></c><c r="D431" s="72"><f>IF(A431&gt;&apos;Property Calculator&apos;!$B$70*12,0,I430)</f><v>0</v></c><c r="E431" s="72"><f>IF(OR(A431&gt;&apos;Property Calculator&apos;!$B$70*12,D431&lt;=0),0,IF(AND(&apos;Property Calculator&apos;!$B$72=1,B431&gt;&apos;Property Calculator&apos;!$B$69),MIN(D431*C431/12+&apos;Property Calculator&apos;!$B$74/12,D431*(1+C431/12)),MIN(&apos;Property Calculator&apos;!$B$67,D431*(1+C431/12))))</f><v>0</v></c><c r="F431" s="72"><f>IF(OR(A431&gt;&apos;Property Calculator&apos;!$B$70*12,D431&lt;=0),0,D431*C431/12)</f><v>0</v></c><c r="G431" s="72"><f>IF(OR(A431&gt;&apos;Property Calculator&apos;!$B$70*12,D431&lt;=0),0,MAX(0,MIN(D431,E431-F431)))</f><v>0</v></c><c r="H431" s="126"><v>0</v></c><c r="I431" s="72"><f>IF(A431&gt;&apos;Property Calculator&apos;!$B$70*12,0,MAX(0,D431-G431-J431))</f><v>0</v></c><c r="J431" s="72"><f>IF(OR(A431&gt;&apos;Property Calculator&apos;!$B$70*12,D431&lt;=0),0,MIN(H431,MAX(0,D431-G431)))</f><v>0</v></c></row><row r="432" spans="1:10" x14ac:dyDescent="0.25"><c r="A432"><v>429</v></c><c r="B432"><f t="shared" si="6"/>&lt;v&gt;36&lt;/v&gt;&lt;/c&gt;&lt;c r=&quot;C432&quot; s=&quot;37&quot;&gt;&lt;f&gt;IF(A432&gt;&apos;Property Calculator&apos;!$B$70*12,0,IF(AND(&apos;Property Calculator&apos;!$B$72=1,B432&gt;&apos;Property Calculator&apos;!$B$69),&apos;Property Calculator&apos;!$B$73,&apos;Property Calculator&apos;!$B$65))</f><v>0</v></c><c r="D432" s="72"><f>IF(A432&gt;&apos;Property Calculator&apos;!$B$70*12,0,I431)</f><v>0</v></c><c r="E432" s="72"><f>IF(OR(A432&gt;&apos;Property Calculator&apos;!$B$70*12,D432&lt;=0),0,IF(AND(&apos;Property Calculator&apos;!$B$72=1,B432&gt;&apos;Property Calculator&apos;!$B$69),MIN(D432*C432/12+&apos;Property Calculator&apos;!$B$74/12,D432*(1+C432/12)),MIN(&apos;Property Calculator&apos;!$B$67,D432*(1+C432/12))))</f><v>0</v></c><c r="F432" s="72"><f>IF(OR(A432&gt;&apos;Property Calculator&apos;!$B$70*12,D432&lt;=0),0,D432*C432/12)</f><v>0</v></c><c r="G432" s="72"><f>IF(OR(A432&gt;&apos;Property Calculator&apos;!$B$70*12,D432&lt;=0),0,MAX(0,MIN(D432,E432-F432)))</f><v>0</v></c><c r="H432" s="126"><v>0</v></c><c r="I432" s="72"><f>IF(A432&gt;&apos;Property Calculator&apos;!$B$70*12,0,MAX(0,D432-G432-J432))</f><v>0</v></c><c r="J432" s="72"><f>IF(OR(A432&gt;&apos;Property Calculator&apos;!$B$70*12,D432&lt;=0),0,MIN(H432,MAX(0,D432-G432)))</f><v>0</v></c></row><row r="433" spans="1:10" x14ac:dyDescent="0.25"><c r="A433"><v>430</v></c><c r="B433"><f t="shared" si="6"/>&lt;v&gt;36&lt;/v&gt;&lt;/c&gt;&lt;c r=&quot;C433&quot; s=&quot;37&quot;&gt;&lt;f&gt;IF(A433&gt;&apos;Property Calculator&apos;!$B$70*12,0,IF(AND(&apos;Property Calculator&apos;!$B$72=1,B433&gt;&apos;Property Calculator&apos;!$B$69),&apos;Property Calculator&apos;!$B$73,&apos;Property Calculator&apos;!$B$65))</f><v>0</v></c><c r="D433" s="72"><f>IF(A433&gt;&apos;Property Calculator&apos;!$B$70*12,0,I432)</f><v>0</v></c><c r="E433" s="72"><f>IF(OR(A433&gt;&apos;Property Calculator&apos;!$B$70*12,D433&lt;=0),0,IF(AND(&apos;Property Calculator&apos;!$B$72=1,B433&gt;&apos;Property Calculator&apos;!$B$69),MIN(D433*C433/12+&apos;Property Calculator&apos;!$B$74/12,D433*(1+C433/12)),MIN(&apos;Property Calculator&apos;!$B$67,D433*(1+C433/12))))</f><v>0</v></c><c r="F433" s="72"><f>IF(OR(A433&gt;&apos;Property Calculator&apos;!$B$70*12,D433&lt;=0),0,D433*C433/12)</f><v>0</v></c><c r="G433" s="72"><f>IF(OR(A433&gt;&apos;Property Calculator&apos;!$B$70*12,D433&lt;=0),0,MAX(0,MIN(D433,E433-F433)))</f><v>0</v></c><c r="H433" s="126"><v>0</v></c><c r="I433" s="72"><f>IF(A433&gt;&apos;Property Calculator&apos;!$B$70*12,0,MAX(0,D433-G433-J433))</f><v>0</v></c><c r="J433" s="72"><f>IF(OR(A433&gt;&apos;Property Calculator&apos;!$B$70*12,D433&lt;=0),0,MIN(H433,MAX(0,D433-G433)))</f><v>0</v></c></row><row r="434" spans="1:10" x14ac:dyDescent="0.25"><c r="A434"><v>431</v></c><c r="B434"><f t="shared" si="6"/>&lt;v&gt;36&lt;/v&gt;&lt;/c&gt;&lt;c r=&quot;C434&quot; s=&quot;37&quot;&gt;&lt;f&gt;IF(A434&gt;&apos;Property Calculator&apos;!$B$70*12,0,IF(AND(&apos;Property Calculator&apos;!$B$72=1,B434&gt;&apos;Property Calculator&apos;!$B$69),&apos;Property Calculator&apos;!$B$73,&apos;Property Calculator&apos;!$B$65))</f><v>0</v></c><c r="D434" s="72"><f>IF(A434&gt;&apos;Property Calculator&apos;!$B$70*12,0,I433)</f><v>0</v></c><c r="E434" s="72"><f>IF(OR(A434&gt;&apos;Property Calculator&apos;!$B$70*12,D434&lt;=0),0,IF(AND(&apos;Property Calculator&apos;!$B$72=1,B434&gt;&apos;Property Calculator&apos;!$B$69),MIN(D434*C434/12+&apos;Property Calculator&apos;!$B$74/12,D434*(1+C434/12)),MIN(&apos;Property Calculator&apos;!$B$67,D434*(1+C434/12))))</f><v>0</v></c><c r="F434" s="72"><f>IF(OR(A434&gt;&apos;Property Calculator&apos;!$B$70*12,D434&lt;=0),0,D434*C434/12)</f><v>0</v></c><c r="G434" s="72"><f>IF(OR(A434&gt;&apos;Property Calculator&apos;!$B$70*12,D434&lt;=0),0,MAX(0,MIN(D434,E434-F434)))</f><v>0</v></c><c r="H434" s="126"><v>0</v></c><c r="I434" s="72"><f>IF(A434&gt;&apos;Property Calculator&apos;!$B$70*12,0,MAX(0,D434-G434-J434))</f><v>0</v></c><c r="J434" s="72"><f>IF(OR(A434&gt;&apos;Property Calculator&apos;!$B$70*12,D434&lt;=0),0,MIN(H434,MAX(0,D434-G434)))</f><v>0</v></c></row><row r="435" spans="1:10" x14ac:dyDescent="0.25"><c r="A435"><v>432</v></c><c r="B435"><f t="shared" si="6"/>&lt;v&gt;36&lt;/v&gt;&lt;/c&gt;&lt;c r=&quot;C435&quot; s=&quot;37&quot;&gt;&lt;f&gt;IF(A435&gt;&apos;Property Calculator&apos;!$B$70*12,0,IF(AND(&apos;Property Calculator&apos;!$B$72=1,B435&gt;&apos;Property Calculator&apos;!$B$69),&apos;Property Calculator&apos;!$B$73,&apos;Property Calculator&apos;!$B$65))</f><v>0</v></c><c r="D435" s="72"><f>IF(A435&gt;&apos;Property Calculator&apos;!$B$70*12,0,I434)</f><v>0</v></c><c r="E435" s="72"><f>IF(OR(A435&gt;&apos;Property Calculator&apos;!$B$70*12,D435&lt;=0),0,IF(AND(&apos;Property Calculator&apos;!$B$72=1,B435&gt;&apos;Property Calculator&apos;!$B$69),MIN(D435*C435/12+&apos;Property Calculator&apos;!$B$74/12,D435*(1+C435/12)),MIN(&apos;Property Calculator&apos;!$B$67,D435*(1+C435/12))))</f><v>0</v></c><c r="F435" s="72"><f>IF(OR(A435&gt;&apos;Property Calculator&apos;!$B$70*12,D435&lt;=0),0,D435*C435/12)</f><v>0</v></c><c r="G435" s="72"><f>IF(OR(A435&gt;&apos;Property Calculator&apos;!$B$70*12,D435&lt;=0),0,MAX(0,MIN(D435,E435-F435)))</f><v>0</v></c><c r="H435" s="126"><v>0</v></c><c r="I435" s="72"><f>IF(A435&gt;&apos;Property Calculator&apos;!$B$70*12,0,MAX(0,D435-G435-J435))</f><v>0</v></c><c r="J435" s="72"><f>IF(OR(A435&gt;&apos;Property Calculator&apos;!$B$70*12,D435&lt;=0),0,MIN(H435,MAX(0,D435-G435)))</f><v>0</v></c></row><row r="436" spans="1:10" x14ac:dyDescent="0.25"><c r="A436"><v>433</v></c><c r="B436"><f t="shared" si="6"/>&lt;v&gt;37&lt;/v&gt;&lt;/c&gt;&lt;c r=&quot;C436&quot; s=&quot;37&quot;&gt;&lt;f&gt;IF(A436&gt;&apos;Property Calculator&apos;!$B$70*12,0,IF(AND(&apos;Property Calculator&apos;!$B$72=1,B436&gt;&apos;Property Calculator&apos;!$B$69),&apos;Property Calculator&apos;!$B$73,&apos;Property Calculator&apos;!$B$65))</f><v>0</v></c><c r="D436" s="72"><f>IF(A436&gt;&apos;Property Calculator&apos;!$B$70*12,0,I435)</f><v>0</v></c><c r="E436" s="72"><f>IF(OR(A436&gt;&apos;Property Calculator&apos;!$B$70*12,D436&lt;=0),0,IF(AND(&apos;Property Calculator&apos;!$B$72=1,B436&gt;&apos;Property Calculator&apos;!$B$69),MIN(D436*C436/12+&apos;Property Calculator&apos;!$B$74/12,D436*(1+C436/12)),MIN(&apos;Property Calculator&apos;!$B$67,D436*(1+C436/12))))</f><v>0</v></c><c r="F436" s="72"><f>IF(OR(A436&gt;&apos;Property Calculator&apos;!$B$70*12,D436&lt;=0),0,D436*C436/12)</f><v>0</v></c><c r="G436" s="72"><f>IF(OR(A436&gt;&apos;Property Calculator&apos;!$B$70*12,D436&lt;=0),0,MAX(0,MIN(D436,E436-F436)))</f><v>0</v></c><c r="H436" s="126"><v>0</v></c><c r="I436" s="72"><f>IF(A436&gt;&apos;Property Calculator&apos;!$B$70*12,0,MAX(0,D436-G436-J436))</f><v>0</v></c><c r="J436" s="72"><f>IF(OR(A436&gt;&apos;Property Calculator&apos;!$B$70*12,D436&lt;=0),0,MIN(H436,MAX(0,D436-G436)))</f><v>0</v></c></row><row r="437" spans="1:10" x14ac:dyDescent="0.25"><c r="A437"><v>434</v></c><c r="B437"><f t="shared" si="6"/>&lt;v&gt;37&lt;/v&gt;&lt;/c&gt;&lt;c r=&quot;C437&quot; s=&quot;37&quot;&gt;&lt;f&gt;IF(A437&gt;&apos;Property Calculator&apos;!$B$70*12,0,IF(AND(&apos;Property Calculator&apos;!$B$72=1,B437&gt;&apos;Property Calculator&apos;!$B$69),&apos;Property Calculator&apos;!$B$73,&apos;Property Calculator&apos;!$B$65))</f><v>0</v></c><c r="D437" s="72"><f>IF(A437&gt;&apos;Property Calculator&apos;!$B$70*12,0,I436)</f><v>0</v></c><c r="E437" s="72"><f>IF(OR(A437&gt;&apos;Property Calculator&apos;!$B$70*12,D437&lt;=0),0,IF(AND(&apos;Property Calculator&apos;!$B$72=1,B437&gt;&apos;Property Calculator&apos;!$B$69),MIN(D437*C437/12+&apos;Property Calculator&apos;!$B$74/12,D437*(1+C437/12)),MIN(&apos;Property Calculator&apos;!$B$67,D437*(1+C437/12))))</f><v>0</v></c><c r="F437" s="72"><f>IF(OR(A437&gt;&apos;Property Calculator&apos;!$B$70*12,D437&lt;=0),0,D437*C437/12)</f><v>0</v></c><c r="G437" s="72"><f>IF(OR(A437&gt;&apos;Property Calculator&apos;!$B$70*12,D437&lt;=0),0,MAX(0,MIN(D437,E437-F437)))</f><v>0</v></c><c r="H437" s="126"><v>0</v></c><c r="I437" s="72"><f>IF(A437&gt;&apos;Property Calculator&apos;!$B$70*12,0,MAX(0,D437-G437-J437))</f><v>0</v></c><c r="J437" s="72"><f>IF(OR(A437&gt;&apos;Property Calculator&apos;!$B$70*12,D437&lt;=0),0,MIN(H437,MAX(0,D437-G437)))</f><v>0</v></c></row><row r="438" spans="1:10" x14ac:dyDescent="0.25"><c r="A438"><v>435</v></c><c r="B438"><f t="shared" si="6"/>&lt;v&gt;37&lt;/v&gt;&lt;/c&gt;&lt;c r=&quot;C438&quot; s=&quot;37&quot;&gt;&lt;f&gt;IF(A438&gt;&apos;Property Calculator&apos;!$B$70*12,0,IF(AND(&apos;Property Calculator&apos;!$B$72=1,B438&gt;&apos;Property Calculator&apos;!$B$69),&apos;Property Calculator&apos;!$B$73,&apos;Property Calculator&apos;!$B$65))</f><v>0</v></c><c r="D438" s="72"><f>IF(A438&gt;&apos;Property Calculator&apos;!$B$70*12,0,I437)</f><v>0</v></c><c r="E438" s="72"><f>IF(OR(A438&gt;&apos;Property Calculator&apos;!$B$70*12,D438&lt;=0),0,IF(AND(&apos;Property Calculator&apos;!$B$72=1,B438&gt;&apos;Property Calculator&apos;!$B$69),MIN(D438*C438/12+&apos;Property Calculator&apos;!$B$74/12,D438*(1+C438/12)),MIN(&apos;Property Calculator&apos;!$B$67,D438*(1+C438/12))))</f><v>0</v></c><c r="F438" s="72"><f>IF(OR(A438&gt;&apos;Property Calculator&apos;!$B$70*12,D438&lt;=0),0,D438*C438/12)</f><v>0</v></c><c r="G438" s="72"><f>IF(OR(A438&gt;&apos;Property Calculator&apos;!$B$70*12,D438&lt;=0),0,MAX(0,MIN(D438,E438-F438)))</f><v>0</v></c><c r="H438" s="126"><v>0</v></c><c r="I438" s="72"><f>IF(A438&gt;&apos;Property Calculator&apos;!$B$70*12,0,MAX(0,D438-G438-J438))</f><v>0</v></c><c r="J438" s="72"><f>IF(OR(A438&gt;&apos;Property Calculator&apos;!$B$70*12,D438&lt;=0),0,MIN(H438,MAX(0,D438-G438)))</f><v>0</v></c></row><row r="439" spans="1:10" x14ac:dyDescent="0.25"><c r="A439"><v>436</v></c><c r="B439"><f t="shared" si="6"/>&lt;v&gt;37&lt;/v&gt;&lt;/c&gt;&lt;c r=&quot;C439&quot; s=&quot;37&quot;&gt;&lt;f&gt;IF(A439&gt;&apos;Property Calculator&apos;!$B$70*12,0,IF(AND(&apos;Property Calculator&apos;!$B$72=1,B439&gt;&apos;Property Calculator&apos;!$B$69),&apos;Property Calculator&apos;!$B$73,&apos;Property Calculator&apos;!$B$65))</f><v>0</v></c><c r="D439" s="72"><f>IF(A439&gt;&apos;Property Calculator&apos;!$B$70*12,0,I438)</f><v>0</v></c><c r="E439" s="72"><f>IF(OR(A439&gt;&apos;Property Calculator&apos;!$B$70*12,D439&lt;=0),0,IF(AND(&apos;Property Calculator&apos;!$B$72=1,B439&gt;&apos;Property Calculator&apos;!$B$69),MIN(D439*C439/12+&apos;Property Calculator&apos;!$B$74/12,D439*(1+C439/12)),MIN(&apos;Property Calculator&apos;!$B$67,D439*(1+C439/12))))</f><v>0</v></c><c r="F439" s="72"><f>IF(OR(A439&gt;&apos;Property Calculator&apos;!$B$70*12,D439&lt;=0),0,D439*C439/12)</f><v>0</v></c><c r="G439" s="72"><f>IF(OR(A439&gt;&apos;Property Calculator&apos;!$B$70*12,D439&lt;=0),0,MAX(0,MIN(D439,E439-F439)))</f><v>0</v></c><c r="H439" s="126"><v>0</v></c><c r="I439" s="72"><f>IF(A439&gt;&apos;Property Calculator&apos;!$B$70*12,0,MAX(0,D439-G439-J439))</f><v>0</v></c><c r="J439" s="72"><f>IF(OR(A439&gt;&apos;Property Calculator&apos;!$B$70*12,D439&lt;=0),0,MIN(H439,MAX(0,D439-G439)))</f><v>0</v></c></row><row r="440" spans="1:10" x14ac:dyDescent="0.25"><c r="A440"><v>437</v></c><c r="B440"><f t="shared" si="6"/>&lt;v&gt;37&lt;/v&gt;&lt;/c&gt;&lt;c r=&quot;C440&quot; s=&quot;37&quot;&gt;&lt;f&gt;IF(A440&gt;&apos;Property Calculator&apos;!$B$70*12,0,IF(AND(&apos;Property Calculator&apos;!$B$72=1,B440&gt;&apos;Property Calculator&apos;!$B$69),&apos;Property Calculator&apos;!$B$73,&apos;Property Calculator&apos;!$B$65))</f><v>0</v></c><c r="D440" s="72"><f>IF(A440&gt;&apos;Property Calculator&apos;!$B$70*12,0,I439)</f><v>0</v></c><c r="E440" s="72"><f>IF(OR(A440&gt;&apos;Property Calculator&apos;!$B$70*12,D440&lt;=0),0,IF(AND(&apos;Property Calculator&apos;!$B$72=1,B440&gt;&apos;Property Calculator&apos;!$B$69),MIN(D440*C440/12+&apos;Property Calculator&apos;!$B$74/12,D440*(1+C440/12)),MIN(&apos;Property Calculator&apos;!$B$67,D440*(1+C440/12))))</f><v>0</v></c><c r="F440" s="72"><f>IF(OR(A440&gt;&apos;Property Calculator&apos;!$B$70*12,D440&lt;=0),0,D440*C440/12)</f><v>0</v></c><c r="G440" s="72"><f>IF(OR(A440&gt;&apos;Property Calculator&apos;!$B$70*12,D440&lt;=0),0,MAX(0,MIN(D440,E440-F440)))</f><v>0</v></c><c r="H440" s="126"><v>0</v></c><c r="I440" s="72"><f>IF(A440&gt;&apos;Property Calculator&apos;!$B$70*12,0,MAX(0,D440-G440-J440))</f><v>0</v></c><c r="J440" s="72"><f>IF(OR(A440&gt;&apos;Property Calculator&apos;!$B$70*12,D440&lt;=0),0,MIN(H440,MAX(0,D440-G440)))</f><v>0</v></c></row><row r="441" spans="1:10" x14ac:dyDescent="0.25"><c r="A441"><v>438</v></c><c r="B441"><f t="shared" si="6"/>&lt;v&gt;37&lt;/v&gt;&lt;/c&gt;&lt;c r=&quot;C441&quot; s=&quot;37&quot;&gt;&lt;f&gt;IF(A441&gt;&apos;Property Calculator&apos;!$B$70*12,0,IF(AND(&apos;Property Calculator&apos;!$B$72=1,B441&gt;&apos;Property Calculator&apos;!$B$69),&apos;Property Calculator&apos;!$B$73,&apos;Property Calculator&apos;!$B$65))</f><v>0</v></c><c r="D441" s="72"><f>IF(A441&gt;&apos;Property Calculator&apos;!$B$70*12,0,I440)</f><v>0</v></c><c r="E441" s="72"><f>IF(OR(A441&gt;&apos;Property Calculator&apos;!$B$70*12,D441&lt;=0),0,IF(AND(&apos;Property Calculator&apos;!$B$72=1,B441&gt;&apos;Property Calculator&apos;!$B$69),MIN(D441*C441/12+&apos;Property Calculator&apos;!$B$74/12,D441*(1+C441/12)),MIN(&apos;Property Calculator&apos;!$B$67,D441*(1+C441/12))))</f><v>0</v></c><c r="F441" s="72"><f>IF(OR(A441&gt;&apos;Property Calculator&apos;!$B$70*12,D441&lt;=0),0,D441*C441/12)</f><v>0</v></c><c r="G441" s="72"><f>IF(OR(A441&gt;&apos;Property Calculator&apos;!$B$70*12,D441&lt;=0),0,MAX(0,MIN(D441,E441-F441)))</f><v>0</v></c><c r="H441" s="126"><v>0</v></c><c r="I441" s="72"><f>IF(A441&gt;&apos;Property Calculator&apos;!$B$70*12,0,MAX(0,D441-G441-J441))</f><v>0</v></c><c r="J441" s="72"><f>IF(OR(A441&gt;&apos;Property Calculator&apos;!$B$70*12,D441&lt;=0),0,MIN(H441,MAX(0,D441-G441)))</f><v>0</v></c></row><row r="442" spans="1:10" x14ac:dyDescent="0.25"><c r="A442"><v>439</v></c><c r="B442"><f t="shared" si="6"/>&lt;v&gt;37&lt;/v&gt;&lt;/c&gt;&lt;c r=&quot;C442&quot; s=&quot;37&quot;&gt;&lt;f&gt;IF(A442&gt;&apos;Property Calculator&apos;!$B$70*12,0,IF(AND(&apos;Property Calculator&apos;!$B$72=1,B442&gt;&apos;Property Calculator&apos;!$B$69),&apos;Property Calculator&apos;!$B$73,&apos;Property Calculator&apos;!$B$65))</f><v>0</v></c><c r="D442" s="72"><f>IF(A442&gt;&apos;Property Calculator&apos;!$B$70*12,0,I441)</f><v>0</v></c><c r="E442" s="72"><f>IF(OR(A442&gt;&apos;Property Calculator&apos;!$B$70*12,D442&lt;=0),0,IF(AND(&apos;Property Calculator&apos;!$B$72=1,B442&gt;&apos;Property Calculator&apos;!$B$69),MIN(D442*C442/12+&apos;Property Calculator&apos;!$B$74/12,D442*(1+C442/12)),MIN(&apos;Property Calculator&apos;!$B$67,D442*(1+C442/12))))</f><v>0</v></c><c r="F442" s="72"><f>IF(OR(A442&gt;&apos;Property Calculator&apos;!$B$70*12,D442&lt;=0),0,D442*C442/12)</f><v>0</v></c><c r="G442" s="72"><f>IF(OR(A442&gt;&apos;Property Calculator&apos;!$B$70*12,D442&lt;=0),0,MAX(0,MIN(D442,E442-F442)))</f><v>0</v></c><c r="H442" s="126"><v>0</v></c><c r="I442" s="72"><f>IF(A442&gt;&apos;Property Calculator&apos;!$B$70*12,0,MAX(0,D442-G442-J442))</f><v>0</v></c><c r="J442" s="72"><f>IF(OR(A442&gt;&apos;Property Calculator&apos;!$B$70*12,D442&lt;=0),0,MIN(H442,MAX(0,D442-G442)))</f><v>0</v></c></row><row r="443" spans="1:10" x14ac:dyDescent="0.25"><c r="A443"><v>440</v></c><c r="B443"><f t="shared" si="6"/>&lt;v&gt;37&lt;/v&gt;&lt;/c&gt;&lt;c r=&quot;C443&quot; s=&quot;37&quot;&gt;&lt;f&gt;IF(A443&gt;&apos;Property Calculator&apos;!$B$70*12,0,IF(AND(&apos;Property Calculator&apos;!$B$72=1,B443&gt;&apos;Property Calculator&apos;!$B$69),&apos;Property Calculator&apos;!$B$73,&apos;Property Calculator&apos;!$B$65))</f><v>0</v></c><c r="D443" s="72"><f>IF(A443&gt;&apos;Property Calculator&apos;!$B$70*12,0,I442)</f><v>0</v></c><c r="E443" s="72"><f>IF(OR(A443&gt;&apos;Property Calculator&apos;!$B$70*12,D443&lt;=0),0,IF(AND(&apos;Property Calculator&apos;!$B$72=1,B443&gt;&apos;Property Calculator&apos;!$B$69),MIN(D443*C443/12+&apos;Property Calculator&apos;!$B$74/12,D443*(1+C443/12)),MIN(&apos;Property Calculator&apos;!$B$67,D443*(1+C443/12))))</f><v>0</v></c><c r="F443" s="72"><f>IF(OR(A443&gt;&apos;Property Calculator&apos;!$B$70*12,D443&lt;=0),0,D443*C443/12)</f><v>0</v></c><c r="G443" s="72"><f>IF(OR(A443&gt;&apos;Property Calculator&apos;!$B$70*12,D443&lt;=0),0,MAX(0,MIN(D443,E443-F443)))</f><v>0</v></c><c r="H443" s="126"><v>0</v></c><c r="I443" s="72"><f>IF(A443&gt;&apos;Property Calculator&apos;!$B$70*12,0,MAX(0,D443-G443-J443))</f><v>0</v></c><c r="J443" s="72"><f>IF(OR(A443&gt;&apos;Property Calculator&apos;!$B$70*12,D443&lt;=0),0,MIN(H443,MAX(0,D443-G443)))</f><v>0</v></c></row><row r="444" spans="1:10" x14ac:dyDescent="0.25"><c r="A444"><v>441</v></c><c r="B444"><f t="shared" si="6"/>&lt;v&gt;37&lt;/v&gt;&lt;/c&gt;&lt;c r=&quot;C444&quot; s=&quot;37&quot;&gt;&lt;f&gt;IF(A444&gt;&apos;Property Calculator&apos;!$B$70*12,0,IF(AND(&apos;Property Calculator&apos;!$B$72=1,B444&gt;&apos;Property Calculator&apos;!$B$69),&apos;Property Calculator&apos;!$B$73,&apos;Property Calculator&apos;!$B$65))</f><v>0</v></c><c r="D444" s="72"><f>IF(A444&gt;&apos;Property Calculator&apos;!$B$70*12,0,I443)</f><v>0</v></c><c r="E444" s="72"><f>IF(OR(A444&gt;&apos;Property Calculator&apos;!$B$70*12,D444&lt;=0),0,IF(AND(&apos;Property Calculator&apos;!$B$72=1,B444&gt;&apos;Property Calculator&apos;!$B$69),MIN(D444*C444/12+&apos;Property Calculator&apos;!$B$74/12,D444*(1+C444/12)),MIN(&apos;Property Calculator&apos;!$B$67,D444*(1+C444/12))))</f><v>0</v></c><c r="F444" s="72"><f>IF(OR(A444&gt;&apos;Property Calculator&apos;!$B$70*12,D444&lt;=0),0,D444*C444/12)</f><v>0</v></c><c r="G444" s="72"><f>IF(OR(A444&gt;&apos;Property Calculator&apos;!$B$70*12,D444&lt;=0),0,MAX(0,MIN(D444,E444-F444)))</f><v>0</v></c><c r="H444" s="126"><v>0</v></c><c r="I444" s="72"><f>IF(A444&gt;&apos;Property Calculator&apos;!$B$70*12,0,MAX(0,D444-G444-J444))</f><v>0</v></c><c r="J444" s="72"><f>IF(OR(A444&gt;&apos;Property Calculator&apos;!$B$70*12,D444&lt;=0),0,MIN(H444,MAX(0,D444-G444)))</f><v>0</v></c></row><row r="445" spans="1:10" x14ac:dyDescent="0.25"><c r="A445"><v>442</v></c><c r="B445"><f t="shared" si="6"/>&lt;v&gt;37&lt;/v&gt;&lt;/c&gt;&lt;c r=&quot;C445&quot; s=&quot;37&quot;&gt;&lt;f&gt;IF(A445&gt;&apos;Property Calculator&apos;!$B$70*12,0,IF(AND(&apos;Property Calculator&apos;!$B$72=1,B445&gt;&apos;Property Calculator&apos;!$B$69),&apos;Property Calculator&apos;!$B$73,&apos;Property Calculator&apos;!$B$65))</f><v>0</v></c><c r="D445" s="72"><f>IF(A445&gt;&apos;Property Calculator&apos;!$B$70*12,0,I444)</f><v>0</v></c><c r="E445" s="72"><f>IF(OR(A445&gt;&apos;Property Calculator&apos;!$B$70*12,D445&lt;=0),0,IF(AND(&apos;Property Calculator&apos;!$B$72=1,B445&gt;&apos;Property Calculator&apos;!$B$69),MIN(D445*C445/12+&apos;Property Calculator&apos;!$B$74/12,D445*(1+C445/12)),MIN(&apos;Property Calculator&apos;!$B$67,D445*(1+C445/12))))</f><v>0</v></c><c r="F445" s="72"><f>IF(OR(A445&gt;&apos;Property Calculator&apos;!$B$70*12,D445&lt;=0),0,D445*C445/12)</f><v>0</v></c><c r="G445" s="72"><f>IF(OR(A445&gt;&apos;Property Calculator&apos;!$B$70*12,D445&lt;=0),0,MAX(0,MIN(D445,E445-F445)))</f><v>0</v></c><c r="H445" s="126"><v>0</v></c><c r="I445" s="72"><f>IF(A445&gt;&apos;Property Calculator&apos;!$B$70*12,0,MAX(0,D445-G445-J445))</f><v>0</v></c><c r="J445" s="72"><f>IF(OR(A445&gt;&apos;Property Calculator&apos;!$B$70*12,D445&lt;=0),0,MIN(H445,MAX(0,D445-G445)))</f><v>0</v></c></row><row r="446" spans="1:10" x14ac:dyDescent="0.25"><c r="A446"><v>443</v></c><c r="B446"><f t="shared" si="6"/>&lt;v&gt;37&lt;/v&gt;&lt;/c&gt;&lt;c r=&quot;C446&quot; s=&quot;37&quot;&gt;&lt;f&gt;IF(A446&gt;&apos;Property Calculator&apos;!$B$70*12,0,IF(AND(&apos;Property Calculator&apos;!$B$72=1,B446&gt;&apos;Property Calculator&apos;!$B$69),&apos;Property Calculator&apos;!$B$73,&apos;Property Calculator&apos;!$B$65))</f><v>0</v></c><c r="D446" s="72"><f>IF(A446&gt;&apos;Property Calculator&apos;!$B$70*12,0,I445)</f><v>0</v></c><c r="E446" s="72"><f>IF(OR(A446&gt;&apos;Property Calculator&apos;!$B$70*12,D446&lt;=0),0,IF(AND(&apos;Property Calculator&apos;!$B$72=1,B446&gt;&apos;Property Calculator&apos;!$B$69),MIN(D446*C446/12+&apos;Property Calculator&apos;!$B$74/12,D446*(1+C446/12)),MIN(&apos;Property Calculator&apos;!$B$67,D446*(1+C446/12))))</f><v>0</v></c><c r="F446" s="72"><f>IF(OR(A446&gt;&apos;Property Calculator&apos;!$B$70*12,D446&lt;=0),0,D446*C446/12)</f><v>0</v></c><c r="G446" s="72"><f>IF(OR(A446&gt;&apos;Property Calculator&apos;!$B$70*12,D446&lt;=0),0,MAX(0,MIN(D446,E446-F446)))</f><v>0</v></c><c r="H446" s="126"><v>0</v></c><c r="I446" s="72"><f>IF(A446&gt;&apos;Property Calculator&apos;!$B$70*12,0,MAX(0,D446-G446-J446))</f><v>0</v></c><c r="J446" s="72"><f>IF(OR(A446&gt;&apos;Property Calculator&apos;!$B$70*12,D446&lt;=0),0,MIN(H446,MAX(0,D446-G446)))</f><v>0</v></c></row><row r="447" spans="1:10" x14ac:dyDescent="0.25"><c r="A447"><v>444</v></c><c r="B447"><f t="shared" si="6"/>&lt;v&gt;37&lt;/v&gt;&lt;/c&gt;&lt;c r=&quot;C447&quot; s=&quot;37&quot;&gt;&lt;f&gt;IF(A447&gt;&apos;Property Calculator&apos;!$B$70*12,0,IF(AND(&apos;Property Calculator&apos;!$B$72=1,B447&gt;&apos;Property Calculator&apos;!$B$69),&apos;Property Calculator&apos;!$B$73,&apos;Property Calculator&apos;!$B$65))</f><v>0</v></c><c r="D447" s="72"><f>IF(A447&gt;&apos;Property Calculator&apos;!$B$70*12,0,I446)</f><v>0</v></c><c r="E447" s="72"><f>IF(OR(A447&gt;&apos;Property Calculator&apos;!$B$70*12,D447&lt;=0),0,IF(AND(&apos;Property Calculator&apos;!$B$72=1,B447&gt;&apos;Property Calculator&apos;!$B$69),MIN(D447*C447/12+&apos;Property Calculator&apos;!$B$74/12,D447*(1+C447/12)),MIN(&apos;Property Calculator&apos;!$B$67,D447*(1+C447/12))))</f><v>0</v></c><c r="F447" s="72"><f>IF(OR(A447&gt;&apos;Property Calculator&apos;!$B$70*12,D447&lt;=0),0,D447*C447/12)</f><v>0</v></c><c r="G447" s="72"><f>IF(OR(A447&gt;&apos;Property Calculator&apos;!$B$70*12,D447&lt;=0),0,MAX(0,MIN(D447,E447-F447)))</f><v>0</v></c><c r="H447" s="126"><v>0</v></c><c r="I447" s="72"><f>IF(A447&gt;&apos;Property Calculator&apos;!$B$70*12,0,MAX(0,D447-G447-J447))</f><v>0</v></c><c r="J447" s="72"><f>IF(OR(A447&gt;&apos;Property Calculator&apos;!$B$70*12,D447&lt;=0),0,MIN(H447,MAX(0,D447-G447)))</f><v>0</v></c></row><row r="448" spans="1:10" x14ac:dyDescent="0.25"><c r="A448"><v>445</v></c><c r="B448"><f t="shared" si="6"/>&lt;v&gt;38&lt;/v&gt;&lt;/c&gt;&lt;c r=&quot;C448&quot; s=&quot;37&quot;&gt;&lt;f&gt;IF(A448&gt;&apos;Property Calculator&apos;!$B$70*12,0,IF(AND(&apos;Property Calculator&apos;!$B$72=1,B448&gt;&apos;Property Calculator&apos;!$B$69),&apos;Property Calculator&apos;!$B$73,&apos;Property Calculator&apos;!$B$65))</f><v>0</v></c><c r="D448" s="72"><f>IF(A448&gt;&apos;Property Calculator&apos;!$B$70*12,0,I447)</f><v>0</v></c><c r="E448" s="72"><f>IF(OR(A448&gt;&apos;Property Calculator&apos;!$B$70*12,D448&lt;=0),0,IF(AND(&apos;Property Calculator&apos;!$B$72=1,B448&gt;&apos;Property Calculator&apos;!$B$69),MIN(D448*C448/12+&apos;Property Calculator&apos;!$B$74/12,D448*(1+C448/12)),MIN(&apos;Property Calculator&apos;!$B$67,D448*(1+C448/12))))</f><v>0</v></c><c r="F448" s="72"><f>IF(OR(A448&gt;&apos;Property Calculator&apos;!$B$70*12,D448&lt;=0),0,D448*C448/12)</f><v>0</v></c><c r="G448" s="72"><f>IF(OR(A448&gt;&apos;Property Calculator&apos;!$B$70*12,D448&lt;=0),0,MAX(0,MIN(D448,E448-F448)))</f><v>0</v></c><c r="H448" s="126"><v>0</v></c><c r="I448" s="72"><f>IF(A448&gt;&apos;Property Calculator&apos;!$B$70*12,0,MAX(0,D448-G448-J448))</f><v>0</v></c><c r="J448" s="72"><f>IF(OR(A448&gt;&apos;Property Calculator&apos;!$B$70*12,D448&lt;=0),0,MIN(H448,MAX(0,D448-G448)))</f><v>0</v></c></row><row r="449" spans="1:10" x14ac:dyDescent="0.25"><c r="A449"><v>446</v></c><c r="B449"><f t="shared" si="6"/>&lt;v&gt;38&lt;/v&gt;&lt;/c&gt;&lt;c r=&quot;C449&quot; s=&quot;37&quot;&gt;&lt;f&gt;IF(A449&gt;&apos;Property Calculator&apos;!$B$70*12,0,IF(AND(&apos;Property Calculator&apos;!$B$72=1,B449&gt;&apos;Property Calculator&apos;!$B$69),&apos;Property Calculator&apos;!$B$73,&apos;Property Calculator&apos;!$B$65))</f><v>0</v></c><c r="D449" s="72"><f>IF(A449&gt;&apos;Property Calculator&apos;!$B$70*12,0,I448)</f><v>0</v></c><c r="E449" s="72"><f>IF(OR(A449&gt;&apos;Property Calculator&apos;!$B$70*12,D449&lt;=0),0,IF(AND(&apos;Property Calculator&apos;!$B$72=1,B449&gt;&apos;Property Calculator&apos;!$B$69),MIN(D449*C449/12+&apos;Property Calculator&apos;!$B$74/12,D449*(1+C449/12)),MIN(&apos;Property Calculator&apos;!$B$67,D449*(1+C449/12))))</f><v>0</v></c><c r="F449" s="72"><f>IF(OR(A449&gt;&apos;Property Calculator&apos;!$B$70*12,D449&lt;=0),0,D449*C449/12)</f><v>0</v></c><c r="G449" s="72"><f>IF(OR(A449&gt;&apos;Property Calculator&apos;!$B$70*12,D449&lt;=0),0,MAX(0,MIN(D449,E449-F449)))</f><v>0</v></c><c r="H449" s="126"><v>0</v></c><c r="I449" s="72"><f>IF(A449&gt;&apos;Property Calculator&apos;!$B$70*12,0,MAX(0,D449-G449-J449))</f><v>0</v></c><c r="J449" s="72"><f>IF(OR(A449&gt;&apos;Property Calculator&apos;!$B$70*12,D449&lt;=0),0,MIN(H449,MAX(0,D449-G449)))</f><v>0</v></c></row><row r="450" spans="1:10" x14ac:dyDescent="0.25"><c r="A450"><v>447</v></c><c r="B450"><f t="shared" si="6"/>&lt;v&gt;38&lt;/v&gt;&lt;/c&gt;&lt;c r=&quot;C450&quot; s=&quot;37&quot;&gt;&lt;f&gt;IF(A450&gt;&apos;Property Calculator&apos;!$B$70*12,0,IF(AND(&apos;Property Calculator&apos;!$B$72=1,B450&gt;&apos;Property Calculator&apos;!$B$69),&apos;Property Calculator&apos;!$B$73,&apos;Property Calculator&apos;!$B$65))</f><v>0</v></c><c r="D450" s="72"><f>IF(A450&gt;&apos;Property Calculator&apos;!$B$70*12,0,I449)</f><v>0</v></c><c r="E450" s="72"><f>IF(OR(A450&gt;&apos;Property Calculator&apos;!$B$70*12,D450&lt;=0),0,IF(AND(&apos;Property Calculator&apos;!$B$72=1,B450&gt;&apos;Property Calculator&apos;!$B$69),MIN(D450*C450/12+&apos;Property Calculator&apos;!$B$74/12,D450*(1+C450/12)),MIN(&apos;Property Calculator&apos;!$B$67,D450*(1+C450/12))))</f><v>0</v></c><c r="F450" s="72"><f>IF(OR(A450&gt;&apos;Property Calculator&apos;!$B$70*12,D450&lt;=0),0,D450*C450/12)</f><v>0</v></c><c r="G450" s="72"><f>IF(OR(A450&gt;&apos;Property Calculator&apos;!$B$70*12,D450&lt;=0),0,MAX(0,MIN(D450,E450-F450)))</f><v>0</v></c><c r="H450" s="126"><v>0</v></c><c r="I450" s="72"><f>IF(A450&gt;&apos;Property Calculator&apos;!$B$70*12,0,MAX(0,D450-G450-J450))</f><v>0</v></c><c r="J450" s="72"><f>IF(OR(A450&gt;&apos;Property Calculator&apos;!$B$70*12,D450&lt;=0),0,MIN(H450,MAX(0,D450-G450)))</f><v>0</v></c></row><row r="451" spans="1:10" x14ac:dyDescent="0.25"><c r="A451"><v>448</v></c><c r="B451"><f t="shared" si="6"/>&lt;v&gt;38&lt;/v&gt;&lt;/c&gt;&lt;c r=&quot;C451&quot; s=&quot;37&quot;&gt;&lt;f&gt;IF(A451&gt;&apos;Property Calculator&apos;!$B$70*12,0,IF(AND(&apos;Property Calculator&apos;!$B$72=1,B451&gt;&apos;Property Calculator&apos;!$B$69),&apos;Property Calculator&apos;!$B$73,&apos;Property Calculator&apos;!$B$65))</f><v>0</v></c><c r="D451" s="72"><f>IF(A451&gt;&apos;Property Calculator&apos;!$B$70*12,0,I450)</f><v>0</v></c><c r="E451" s="72"><f>IF(OR(A451&gt;&apos;Property Calculator&apos;!$B$70*12,D451&lt;=0),0,IF(AND(&apos;Property Calculator&apos;!$B$72=1,B451&gt;&apos;Property Calculator&apos;!$B$69),MIN(D451*C451/12+&apos;Property Calculator&apos;!$B$74/12,D451*(1+C451/12)),MIN(&apos;Property Calculator&apos;!$B$67,D451*(1+C451/12))))</f><v>0</v></c><c r="F451" s="72"><f>IF(OR(A451&gt;&apos;Property Calculator&apos;!$B$70*12,D451&lt;=0),0,D451*C451/12)</f><v>0</v></c><c r="G451" s="72"><f>IF(OR(A451&gt;&apos;Property Calculator&apos;!$B$70*12,D451&lt;=0),0,MAX(0,MIN(D451,E451-F451)))</f><v>0</v></c><c r="H451" s="126"><v>0</v></c><c r="I451" s="72"><f>IF(A451&gt;&apos;Property Calculator&apos;!$B$70*12,0,MAX(0,D451-G451-J451))</f><v>0</v></c><c r="J451" s="72"><f>IF(OR(A451&gt;&apos;Property Calculator&apos;!$B$70*12,D451&lt;=0),0,MIN(H451,MAX(0,D451-G451)))</f><v>0</v></c></row><row r="452" spans="1:10" x14ac:dyDescent="0.25"><c r="A452"><v>449</v></c><c r="B452"><f t="shared" ref="B452:B515" si="7">INT((A452-1)/12)+1</f><v>38</v></c><c r="C452" s="37"><f>IF(A452&gt;&apos;Property Calculator&apos;!$B$70*12,0,IF(AND(&apos;Property Calculator&apos;!$B$72=1,B452&gt;&apos;Property Calculator&apos;!$B$69),&apos;Property Calculator&apos;!$B$73,&apos;Property Calculator&apos;!$B$65))</f><v>0</v></c><c r="D452" s="72"><f>IF(A452&gt;&apos;Property Calculator&apos;!$B$70*12,0,I451)</f><v>0</v></c><c r="E452" s="72"><f>IF(OR(A452&gt;&apos;Property Calculator&apos;!$B$70*12,D452&lt;=0),0,IF(AND(&apos;Property Calculator&apos;!$B$72=1,B452&gt;&apos;Property Calculator&apos;!$B$69),MIN(D452*C452/12+&apos;Property Calculator&apos;!$B$74/12,D452*(1+C452/12)),MIN(&apos;Property Calculator&apos;!$B$67,D452*(1+C452/12))))</f><v>0</v></c><c r="F452" s="72"><f>IF(OR(A452&gt;&apos;Property Calculator&apos;!$B$70*12,D452&lt;=0),0,D452*C452/12)</f><v>0</v></c><c r="G452" s="72"><f>IF(OR(A452&gt;&apos;Property Calculator&apos;!$B$70*12,D452&lt;=0),0,MAX(0,MIN(D452,E452-F452)))</f><v>0</v></c><c r="H452" s="126"><v>0</v></c><c r="I452" s="72"><f>IF(A452&gt;&apos;Property Calculator&apos;!$B$70*12,0,MAX(0,D452-G452-J452))</f><v>0</v></c><c r="J452" s="72"><f>IF(OR(A452&gt;&apos;Property Calculator&apos;!$B$70*12,D452&lt;=0),0,MIN(H452,MAX(0,D452-G452)))</f><v>0</v></c></row><row r="453" spans="1:10" x14ac:dyDescent="0.25"><c r="A453"><v>450</v></c><c r="B453"><f t="shared" si="7"/>&lt;v&gt;38&lt;/v&gt;&lt;/c&gt;&lt;c r=&quot;C453&quot; s=&quot;37&quot;&gt;&lt;f&gt;IF(A453&gt;&apos;Property Calculator&apos;!$B$70*12,0,IF(AND(&apos;Property Calculator&apos;!$B$72=1,B453&gt;&apos;Property Calculator&apos;!$B$69),&apos;Property Calculator&apos;!$B$73,&apos;Property Calculator&apos;!$B$65))</f><v>0</v></c><c r="D453" s="72"><f>IF(A453&gt;&apos;Property Calculator&apos;!$B$70*12,0,I452)</f><v>0</v></c><c r="E453" s="72"><f>IF(OR(A453&gt;&apos;Property Calculator&apos;!$B$70*12,D453&lt;=0),0,IF(AND(&apos;Property Calculator&apos;!$B$72=1,B453&gt;&apos;Property Calculator&apos;!$B$69),MIN(D453*C453/12+&apos;Property Calculator&apos;!$B$74/12,D453*(1+C453/12)),MIN(&apos;Property Calculator&apos;!$B$67,D453*(1+C453/12))))</f><v>0</v></c><c r="F453" s="72"><f>IF(OR(A453&gt;&apos;Property Calculator&apos;!$B$70*12,D453&lt;=0),0,D453*C453/12)</f><v>0</v></c><c r="G453" s="72"><f>IF(OR(A453&gt;&apos;Property Calculator&apos;!$B$70*12,D453&lt;=0),0,MAX(0,MIN(D453,E453-F453)))</f><v>0</v></c><c r="H453" s="126"><v>0</v></c><c r="I453" s="72"><f>IF(A453&gt;&apos;Property Calculator&apos;!$B$70*12,0,MAX(0,D453-G453-J453))</f><v>0</v></c><c r="J453" s="72"><f>IF(OR(A453&gt;&apos;Property Calculator&apos;!$B$70*12,D453&lt;=0),0,MIN(H453,MAX(0,D453-G453)))</f><v>0</v></c></row><row r="454" spans="1:10" x14ac:dyDescent="0.25"><c r="A454"><v>451</v></c><c r="B454"><f t="shared" si="7"/>&lt;v&gt;38&lt;/v&gt;&lt;/c&gt;&lt;c r=&quot;C454&quot; s=&quot;37&quot;&gt;&lt;f&gt;IF(A454&gt;&apos;Property Calculator&apos;!$B$70*12,0,IF(AND(&apos;Property Calculator&apos;!$B$72=1,B454&gt;&apos;Property Calculator&apos;!$B$69),&apos;Property Calculator&apos;!$B$73,&apos;Property Calculator&apos;!$B$65))</f><v>0</v></c><c r="D454" s="72"><f>IF(A454&gt;&apos;Property Calculator&apos;!$B$70*12,0,I453)</f><v>0</v></c><c r="E454" s="72"><f>IF(OR(A454&gt;&apos;Property Calculator&apos;!$B$70*12,D454&lt;=0),0,IF(AND(&apos;Property Calculator&apos;!$B$72=1,B454&gt;&apos;Property Calculator&apos;!$B$69),MIN(D454*C454/12+&apos;Property Calculator&apos;!$B$74/12,D454*(1+C454/12)),MIN(&apos;Property Calculator&apos;!$B$67,D454*(1+C454/12))))</f><v>0</v></c><c r="F454" s="72"><f>IF(OR(A454&gt;&apos;Property Calculator&apos;!$B$70*12,D454&lt;=0),0,D454*C454/12)</f><v>0</v></c><c r="G454" s="72"><f>IF(OR(A454&gt;&apos;Property Calculator&apos;!$B$70*12,D454&lt;=0),0,MAX(0,MIN(D454,E454-F454)))</f><v>0</v></c><c r="H454" s="126"><v>0</v></c><c r="I454" s="72"><f>IF(A454&gt;&apos;Property Calculator&apos;!$B$70*12,0,MAX(0,D454-G454-J454))</f><v>0</v></c><c r="J454" s="72"><f>IF(OR(A454&gt;&apos;Property Calculator&apos;!$B$70*12,D454&lt;=0),0,MIN(H454,MAX(0,D454-G454)))</f><v>0</v></c></row><row r="455" spans="1:10" x14ac:dyDescent="0.25"><c r="A455"><v>452</v></c><c r="B455"><f t="shared" si="7"/>&lt;v&gt;38&lt;/v&gt;&lt;/c&gt;&lt;c r=&quot;C455&quot; s=&quot;37&quot;&gt;&lt;f&gt;IF(A455&gt;&apos;Property Calculator&apos;!$B$70*12,0,IF(AND(&apos;Property Calculator&apos;!$B$72=1,B455&gt;&apos;Property Calculator&apos;!$B$69),&apos;Property Calculator&apos;!$B$73,&apos;Property Calculator&apos;!$B$65))</f><v>0</v></c><c r="D455" s="72"><f>IF(A455&gt;&apos;Property Calculator&apos;!$B$70*12,0,I454)</f><v>0</v></c><c r="E455" s="72"><f>IF(OR(A455&gt;&apos;Property Calculator&apos;!$B$70*12,D455&lt;=0),0,IF(AND(&apos;Property Calculator&apos;!$B$72=1,B455&gt;&apos;Property Calculator&apos;!$B$69),MIN(D455*C455/12+&apos;Property Calculator&apos;!$B$74/12,D455*(1+C455/12)),MIN(&apos;Property Calculator&apos;!$B$67,D455*(1+C455/12))))</f><v>0</v></c><c r="F455" s="72"><f>IF(OR(A455&gt;&apos;Property Calculator&apos;!$B$70*12,D455&lt;=0),0,D455*C455/12)</f><v>0</v></c><c r="G455" s="72"><f>IF(OR(A455&gt;&apos;Property Calculator&apos;!$B$70*12,D455&lt;=0),0,MAX(0,MIN(D455,E455-F455)))</f><v>0</v></c><c r="H455" s="126"><v>0</v></c><c r="I455" s="72"><f>IF(A455&gt;&apos;Property Calculator&apos;!$B$70*12,0,MAX(0,D455-G455-J455))</f><v>0</v></c><c r="J455" s="72"><f>IF(OR(A455&gt;&apos;Property Calculator&apos;!$B$70*12,D455&lt;=0),0,MIN(H455,MAX(0,D455-G455)))</f><v>0</v></c></row><row r="456" spans="1:10" x14ac:dyDescent="0.25"><c r="A456"><v>453</v></c><c r="B456"><f t="shared" si="7"/>&lt;v&gt;38&lt;/v&gt;&lt;/c&gt;&lt;c r=&quot;C456&quot; s=&quot;37&quot;&gt;&lt;f&gt;IF(A456&gt;&apos;Property Calculator&apos;!$B$70*12,0,IF(AND(&apos;Property Calculator&apos;!$B$72=1,B456&gt;&apos;Property Calculator&apos;!$B$69),&apos;Property Calculator&apos;!$B$73,&apos;Property Calculator&apos;!$B$65))</f><v>0</v></c><c r="D456" s="72"><f>IF(A456&gt;&apos;Property Calculator&apos;!$B$70*12,0,I455)</f><v>0</v></c><c r="E456" s="72"><f>IF(OR(A456&gt;&apos;Property Calculator&apos;!$B$70*12,D456&lt;=0),0,IF(AND(&apos;Property Calculator&apos;!$B$72=1,B456&gt;&apos;Property Calculator&apos;!$B$69),MIN(D456*C456/12+&apos;Property Calculator&apos;!$B$74/12,D456*(1+C456/12)),MIN(&apos;Property Calculator&apos;!$B$67,D456*(1+C456/12))))</f><v>0</v></c><c r="F456" s="72"><f>IF(OR(A456&gt;&apos;Property Calculator&apos;!$B$70*12,D456&lt;=0),0,D456*C456/12)</f><v>0</v></c><c r="G456" s="72"><f>IF(OR(A456&gt;&apos;Property Calculator&apos;!$B$70*12,D456&lt;=0),0,MAX(0,MIN(D456,E456-F456)))</f><v>0</v></c><c r="H456" s="126"><v>0</v></c><c r="I456" s="72"><f>IF(A456&gt;&apos;Property Calculator&apos;!$B$70*12,0,MAX(0,D456-G456-J456))</f><v>0</v></c><c r="J456" s="72"><f>IF(OR(A456&gt;&apos;Property Calculator&apos;!$B$70*12,D456&lt;=0),0,MIN(H456,MAX(0,D456-G456)))</f><v>0</v></c></row><row r="457" spans="1:10" x14ac:dyDescent="0.25"><c r="A457"><v>454</v></c><c r="B457"><f t="shared" si="7"/>&lt;v&gt;38&lt;/v&gt;&lt;/c&gt;&lt;c r=&quot;C457&quot; s=&quot;37&quot;&gt;&lt;f&gt;IF(A457&gt;&apos;Property Calculator&apos;!$B$70*12,0,IF(AND(&apos;Property Calculator&apos;!$B$72=1,B457&gt;&apos;Property Calculator&apos;!$B$69),&apos;Property Calculator&apos;!$B$73,&apos;Property Calculator&apos;!$B$65))</f><v>0</v></c><c r="D457" s="72"><f>IF(A457&gt;&apos;Property Calculator&apos;!$B$70*12,0,I456)</f><v>0</v></c><c r="E457" s="72"><f>IF(OR(A457&gt;&apos;Property Calculator&apos;!$B$70*12,D457&lt;=0),0,IF(AND(&apos;Property Calculator&apos;!$B$72=1,B457&gt;&apos;Property Calculator&apos;!$B$69),MIN(D457*C457/12+&apos;Property Calculator&apos;!$B$74/12,D457*(1+C457/12)),MIN(&apos;Property Calculator&apos;!$B$67,D457*(1+C457/12))))</f><v>0</v></c><c r="F457" s="72"><f>IF(OR(A457&gt;&apos;Property Calculator&apos;!$B$70*12,D457&lt;=0),0,D457*C457/12)</f><v>0</v></c><c r="G457" s="72"><f>IF(OR(A457&gt;&apos;Property Calculator&apos;!$B$70*12,D457&lt;=0),0,MAX(0,MIN(D457,E457-F457)))</f><v>0</v></c><c r="H457" s="126"><v>0</v></c><c r="I457" s="72"><f>IF(A457&gt;&apos;Property Calculator&apos;!$B$70*12,0,MAX(0,D457-G457-J457))</f><v>0</v></c><c r="J457" s="72"><f>IF(OR(A457&gt;&apos;Property Calculator&apos;!$B$70*12,D457&lt;=0),0,MIN(H457,MAX(0,D457-G457)))</f><v>0</v></c></row><row r="458" spans="1:10" x14ac:dyDescent="0.25"><c r="A458"><v>455</v></c><c r="B458"><f t="shared" si="7"/>&lt;v&gt;38&lt;/v&gt;&lt;/c&gt;&lt;c r=&quot;C458&quot; s=&quot;37&quot;&gt;&lt;f&gt;IF(A458&gt;&apos;Property Calculator&apos;!$B$70*12,0,IF(AND(&apos;Property Calculator&apos;!$B$72=1,B458&gt;&apos;Property Calculator&apos;!$B$69),&apos;Property Calculator&apos;!$B$73,&apos;Property Calculator&apos;!$B$65))</f><v>0</v></c><c r="D458" s="72"><f>IF(A458&gt;&apos;Property Calculator&apos;!$B$70*12,0,I457)</f><v>0</v></c><c r="E458" s="72"><f>IF(OR(A458&gt;&apos;Property Calculator&apos;!$B$70*12,D458&lt;=0),0,IF(AND(&apos;Property Calculator&apos;!$B$72=1,B458&gt;&apos;Property Calculator&apos;!$B$69),MIN(D458*C458/12+&apos;Property Calculator&apos;!$B$74/12,D458*(1+C458/12)),MIN(&apos;Property Calculator&apos;!$B$67,D458*(1+C458/12))))</f><v>0</v></c><c r="F458" s="72"><f>IF(OR(A458&gt;&apos;Property Calculator&apos;!$B$70*12,D458&lt;=0),0,D458*C458/12)</f><v>0</v></c><c r="G458" s="72"><f>IF(OR(A458&gt;&apos;Property Calculator&apos;!$B$70*12,D458&lt;=0),0,MAX(0,MIN(D458,E458-F458)))</f><v>0</v></c><c r="H458" s="126"><v>0</v></c><c r="I458" s="72"><f>IF(A458&gt;&apos;Property Calculator&apos;!$B$70*12,0,MAX(0,D458-G458-J458))</f><v>0</v></c><c r="J458" s="72"><f>IF(OR(A458&gt;&apos;Property Calculator&apos;!$B$70*12,D458&lt;=0),0,MIN(H458,MAX(0,D458-G458)))</f><v>0</v></c></row><row r="459" spans="1:10" x14ac:dyDescent="0.25"><c r="A459"><v>456</v></c><c r="B459"><f t="shared" si="7"/>&lt;v&gt;38&lt;/v&gt;&lt;/c&gt;&lt;c r=&quot;C459&quot; s=&quot;37&quot;&gt;&lt;f&gt;IF(A459&gt;&apos;Property Calculator&apos;!$B$70*12,0,IF(AND(&apos;Property Calculator&apos;!$B$72=1,B459&gt;&apos;Property Calculator&apos;!$B$69),&apos;Property Calculator&apos;!$B$73,&apos;Property Calculator&apos;!$B$65))</f><v>0</v></c><c r="D459" s="72"><f>IF(A459&gt;&apos;Property Calculator&apos;!$B$70*12,0,I458)</f><v>0</v></c><c r="E459" s="72"><f>IF(OR(A459&gt;&apos;Property Calculator&apos;!$B$70*12,D459&lt;=0),0,IF(AND(&apos;Property Calculator&apos;!$B$72=1,B459&gt;&apos;Property Calculator&apos;!$B$69),MIN(D459*C459/12+&apos;Property Calculator&apos;!$B$74/12,D459*(1+C459/12)),MIN(&apos;Property Calculator&apos;!$B$67,D459*(1+C459/12))))</f><v>0</v></c><c r="F459" s="72"><f>IF(OR(A459&gt;&apos;Property Calculator&apos;!$B$70*12,D459&lt;=0),0,D459*C459/12)</f><v>0</v></c><c r="G459" s="72"><f>IF(OR(A459&gt;&apos;Property Calculator&apos;!$B$70*12,D459&lt;=0),0,MAX(0,MIN(D459,E459-F459)))</f><v>0</v></c><c r="H459" s="126"><v>0</v></c><c r="I459" s="72"><f>IF(A459&gt;&apos;Property Calculator&apos;!$B$70*12,0,MAX(0,D459-G459-J459))</f><v>0</v></c><c r="J459" s="72"><f>IF(OR(A459&gt;&apos;Property Calculator&apos;!$B$70*12,D459&lt;=0),0,MIN(H459,MAX(0,D459-G459)))</f><v>0</v></c></row><row r="460" spans="1:10" x14ac:dyDescent="0.25"><c r="A460"><v>457</v></c><c r="B460"><f t="shared" si="7"/>&lt;v&gt;39&lt;/v&gt;&lt;/c&gt;&lt;c r=&quot;C460&quot; s=&quot;37&quot;&gt;&lt;f&gt;IF(A460&gt;&apos;Property Calculator&apos;!$B$70*12,0,IF(AND(&apos;Property Calculator&apos;!$B$72=1,B460&gt;&apos;Property Calculator&apos;!$B$69),&apos;Property Calculator&apos;!$B$73,&apos;Property Calculator&apos;!$B$65))</f><v>0</v></c><c r="D460" s="72"><f>IF(A460&gt;&apos;Property Calculator&apos;!$B$70*12,0,I459)</f><v>0</v></c><c r="E460" s="72"><f>IF(OR(A460&gt;&apos;Property Calculator&apos;!$B$70*12,D460&lt;=0),0,IF(AND(&apos;Property Calculator&apos;!$B$72=1,B460&gt;&apos;Property Calculator&apos;!$B$69),MIN(D460*C460/12+&apos;Property Calculator&apos;!$B$74/12,D460*(1+C460/12)),MIN(&apos;Property Calculator&apos;!$B$67,D460*(1+C460/12))))</f><v>0</v></c><c r="F460" s="72"><f>IF(OR(A460&gt;&apos;Property Calculator&apos;!$B$70*12,D460&lt;=0),0,D460*C460/12)</f><v>0</v></c><c r="G460" s="72"><f>IF(OR(A460&gt;&apos;Property Calculator&apos;!$B$70*12,D460&lt;=0),0,MAX(0,MIN(D460,E460-F460)))</f><v>0</v></c><c r="H460" s="126"><v>0</v></c><c r="I460" s="72"><f>IF(A460&gt;&apos;Property Calculator&apos;!$B$70*12,0,MAX(0,D460-G460-J460))</f><v>0</v></c><c r="J460" s="72"><f>IF(OR(A460&gt;&apos;Property Calculator&apos;!$B$70*12,D460&lt;=0),0,MIN(H460,MAX(0,D460-G460)))</f><v>0</v></c></row><row r="461" spans="1:10" x14ac:dyDescent="0.25"><c r="A461"><v>458</v></c><c r="B461"><f t="shared" si="7"/>&lt;v&gt;39&lt;/v&gt;&lt;/c&gt;&lt;c r=&quot;C461&quot; s=&quot;37&quot;&gt;&lt;f&gt;IF(A461&gt;&apos;Property Calculator&apos;!$B$70*12,0,IF(AND(&apos;Property Calculator&apos;!$B$72=1,B461&gt;&apos;Property Calculator&apos;!$B$69),&apos;Property Calculator&apos;!$B$73,&apos;Property Calculator&apos;!$B$65))</f><v>0</v></c><c r="D461" s="72"><f>IF(A461&gt;&apos;Property Calculator&apos;!$B$70*12,0,I460)</f><v>0</v></c><c r="E461" s="72"><f>IF(OR(A461&gt;&apos;Property Calculator&apos;!$B$70*12,D461&lt;=0),0,IF(AND(&apos;Property Calculator&apos;!$B$72=1,B461&gt;&apos;Property Calculator&apos;!$B$69),MIN(D461*C461/12+&apos;Property Calculator&apos;!$B$74/12,D461*(1+C461/12)),MIN(&apos;Property Calculator&apos;!$B$67,D461*(1+C461/12))))</f><v>0</v></c><c r="F461" s="72"><f>IF(OR(A461&gt;&apos;Property Calculator&apos;!$B$70*12,D461&lt;=0),0,D461*C461/12)</f><v>0</v></c><c r="G461" s="72"><f>IF(OR(A461&gt;&apos;Property Calculator&apos;!$B$70*12,D461&lt;=0),0,MAX(0,MIN(D461,E461-F461)))</f><v>0</v></c><c r="H461" s="126"><v>0</v></c><c r="I461" s="72"><f>IF(A461&gt;&apos;Property Calculator&apos;!$B$70*12,0,MAX(0,D461-G461-J461))</f><v>0</v></c><c r="J461" s="72"><f>IF(OR(A461&gt;&apos;Property Calculator&apos;!$B$70*12,D461&lt;=0),0,MIN(H461,MAX(0,D461-G461)))</f><v>0</v></c></row><row r="462" spans="1:10" x14ac:dyDescent="0.25"><c r="A462"><v>459</v></c><c r="B462"><f t="shared" si="7"/>&lt;v&gt;39&lt;/v&gt;&lt;/c&gt;&lt;c r=&quot;C462&quot; s=&quot;37&quot;&gt;&lt;f&gt;IF(A462&gt;&apos;Property Calculator&apos;!$B$70*12,0,IF(AND(&apos;Property Calculator&apos;!$B$72=1,B462&gt;&apos;Property Calculator&apos;!$B$69),&apos;Property Calculator&apos;!$B$73,&apos;Property Calculator&apos;!$B$65))</f><v>0</v></c><c r="D462" s="72"><f>IF(A462&gt;&apos;Property Calculator&apos;!$B$70*12,0,I461)</f><v>0</v></c><c r="E462" s="72"><f>IF(OR(A462&gt;&apos;Property Calculator&apos;!$B$70*12,D462&lt;=0),0,IF(AND(&apos;Property Calculator&apos;!$B$72=1,B462&gt;&apos;Property Calculator&apos;!$B$69),MIN(D462*C462/12+&apos;Property Calculator&apos;!$B$74/12,D462*(1+C462/12)),MIN(&apos;Property Calculator&apos;!$B$67,D462*(1+C462/12))))</f><v>0</v></c><c r="F462" s="72"><f>IF(OR(A462&gt;&apos;Property Calculator&apos;!$B$70*12,D462&lt;=0),0,D462*C462/12)</f><v>0</v></c><c r="G462" s="72"><f>IF(OR(A462&gt;&apos;Property Calculator&apos;!$B$70*12,D462&lt;=0),0,MAX(0,MIN(D462,E462-F462)))</f><v>0</v></c><c r="H462" s="126"><v>0</v></c><c r="I462" s="72"><f>IF(A462&gt;&apos;Property Calculator&apos;!$B$70*12,0,MAX(0,D462-G462-J462))</f><v>0</v></c><c r="J462" s="72"><f>IF(OR(A462&gt;&apos;Property Calculator&apos;!$B$70*12,D462&lt;=0),0,MIN(H462,MAX(0,D462-G462)))</f><v>0</v></c></row><row r="463" spans="1:10" x14ac:dyDescent="0.25"><c r="A463"><v>460</v></c><c r="B463"><f t="shared" si="7"/>&lt;v&gt;39&lt;/v&gt;&lt;/c&gt;&lt;c r=&quot;C463&quot; s=&quot;37&quot;&gt;&lt;f&gt;IF(A463&gt;&apos;Property Calculator&apos;!$B$70*12,0,IF(AND(&apos;Property Calculator&apos;!$B$72=1,B463&gt;&apos;Property Calculator&apos;!$B$69),&apos;Property Calculator&apos;!$B$73,&apos;Property Calculator&apos;!$B$65))</f><v>0</v></c><c r="D463" s="72"><f>IF(A463&gt;&apos;Property Calculator&apos;!$B$70*12,0,I462)</f><v>0</v></c><c r="E463" s="72"><f>IF(OR(A463&gt;&apos;Property Calculator&apos;!$B$70*12,D463&lt;=0),0,IF(AND(&apos;Property Calculator&apos;!$B$72=1,B463&gt;&apos;Property Calculator&apos;!$B$69),MIN(D463*C463/12+&apos;Property Calculator&apos;!$B$74/12,D463*(1+C463/12)),MIN(&apos;Property Calculator&apos;!$B$67,D463*(1+C463/12))))</f><v>0</v></c><c r="F463" s="72"><f>IF(OR(A463&gt;&apos;Property Calculator&apos;!$B$70*12,D463&lt;=0),0,D463*C463/12)</f><v>0</v></c><c r="G463" s="72"><f>IF(OR(A463&gt;&apos;Property Calculator&apos;!$B$70*12,D463&lt;=0),0,MAX(0,MIN(D463,E463-F463)))</f><v>0</v></c><c r="H463" s="126"><v>0</v></c><c r="I463" s="72"><f>IF(A463&gt;&apos;Property Calculator&apos;!$B$70*12,0,MAX(0,D463-G463-J463))</f><v>0</v></c><c r="J463" s="72"><f>IF(OR(A463&gt;&apos;Property Calculator&apos;!$B$70*12,D463&lt;=0),0,MIN(H463,MAX(0,D463-G463)))</f><v>0</v></c></row><row r="464" spans="1:10" x14ac:dyDescent="0.25"><c r="A464"><v>461</v></c><c r="B464"><f t="shared" si="7"/>&lt;v&gt;39&lt;/v&gt;&lt;/c&gt;&lt;c r=&quot;C464&quot; s=&quot;37&quot;&gt;&lt;f&gt;IF(A464&gt;&apos;Property Calculator&apos;!$B$70*12,0,IF(AND(&apos;Property Calculator&apos;!$B$72=1,B464&gt;&apos;Property Calculator&apos;!$B$69),&apos;Property Calculator&apos;!$B$73,&apos;Property Calculator&apos;!$B$65))</f><v>0</v></c><c r="D464" s="72"><f>IF(A464&gt;&apos;Property Calculator&apos;!$B$70*12,0,I463)</f><v>0</v></c><c r="E464" s="72"><f>IF(OR(A464&gt;&apos;Property Calculator&apos;!$B$70*12,D464&lt;=0),0,IF(AND(&apos;Property Calculator&apos;!$B$72=1,B464&gt;&apos;Property Calculator&apos;!$B$69),MIN(D464*C464/12+&apos;Property Calculator&apos;!$B$74/12,D464*(1+C464/12)),MIN(&apos;Property Calculator&apos;!$B$67,D464*(1+C464/12))))</f><v>0</v></c><c r="F464" s="72"><f>IF(OR(A464&gt;&apos;Property Calculator&apos;!$B$70*12,D464&lt;=0),0,D464*C464/12)</f><v>0</v></c><c r="G464" s="72"><f>IF(OR(A464&gt;&apos;Property Calculator&apos;!$B$70*12,D464&lt;=0),0,MAX(0,MIN(D464,E464-F464)))</f><v>0</v></c><c r="H464" s="126"><v>0</v></c><c r="I464" s="72"><f>IF(A464&gt;&apos;Property Calculator&apos;!$B$70*12,0,MAX(0,D464-G464-J464))</f><v>0</v></c><c r="J464" s="72"><f>IF(OR(A464&gt;&apos;Property Calculator&apos;!$B$70*12,D464&lt;=0),0,MIN(H464,MAX(0,D464-G464)))</f><v>0</v></c></row><row r="465" spans="1:10" x14ac:dyDescent="0.25"><c r="A465"><v>462</v></c><c r="B465"><f t="shared" si="7"/>&lt;v&gt;39&lt;/v&gt;&lt;/c&gt;&lt;c r=&quot;C465&quot; s=&quot;37&quot;&gt;&lt;f&gt;IF(A465&gt;&apos;Property Calculator&apos;!$B$70*12,0,IF(AND(&apos;Property Calculator&apos;!$B$72=1,B465&gt;&apos;Property Calculator&apos;!$B$69),&apos;Property Calculator&apos;!$B$73,&apos;Property Calculator&apos;!$B$65))</f><v>0</v></c><c r="D465" s="72"><f>IF(A465&gt;&apos;Property Calculator&apos;!$B$70*12,0,I464)</f><v>0</v></c><c r="E465" s="72"><f>IF(OR(A465&gt;&apos;Property Calculator&apos;!$B$70*12,D465&lt;=0),0,IF(AND(&apos;Property Calculator&apos;!$B$72=1,B465&gt;&apos;Property Calculator&apos;!$B$69),MIN(D465*C465/12+&apos;Property Calculator&apos;!$B$74/12,D465*(1+C465/12)),MIN(&apos;Property Calculator&apos;!$B$67,D465*(1+C465/12))))</f><v>0</v></c><c r="F465" s="72"><f>IF(OR(A465&gt;&apos;Property Calculator&apos;!$B$70*12,D465&lt;=0),0,D465*C465/12)</f><v>0</v></c><c r="G465" s="72"><f>IF(OR(A465&gt;&apos;Property Calculator&apos;!$B$70*12,D465&lt;=0),0,MAX(0,MIN(D465,E465-F465)))</f><v>0</v></c><c r="H465" s="126"><v>0</v></c><c r="I465" s="72"><f>IF(A465&gt;&apos;Property Calculator&apos;!$B$70*12,0,MAX(0,D465-G465-J465))</f><v>0</v></c><c r="J465" s="72"><f>IF(OR(A465&gt;&apos;Property Calculator&apos;!$B$70*12,D465&lt;=0),0,MIN(H465,MAX(0,D465-G465)))</f><v>0</v></c></row><row r="466" spans="1:10" x14ac:dyDescent="0.25"><c r="A466"><v>463</v></c><c r="B466"><f t="shared" si="7"/>&lt;v&gt;39&lt;/v&gt;&lt;/c&gt;&lt;c r=&quot;C466&quot; s=&quot;37&quot;&gt;&lt;f&gt;IF(A466&gt;&apos;Property Calculator&apos;!$B$70*12,0,IF(AND(&apos;Property Calculator&apos;!$B$72=1,B466&gt;&apos;Property Calculator&apos;!$B$69),&apos;Property Calculator&apos;!$B$73,&apos;Property Calculator&apos;!$B$65))</f><v>0</v></c><c r="D466" s="72"><f>IF(A466&gt;&apos;Property Calculator&apos;!$B$70*12,0,I465)</f><v>0</v></c><c r="E466" s="72"><f>IF(OR(A466&gt;&apos;Property Calculator&apos;!$B$70*12,D466&lt;=0),0,IF(AND(&apos;Property Calculator&apos;!$B$72=1,B466&gt;&apos;Property Calculator&apos;!$B$69),MIN(D466*C466/12+&apos;Property Calculator&apos;!$B$74/12,D466*(1+C466/12)),MIN(&apos;Property Calculator&apos;!$B$67,D466*(1+C466/12))))</f><v>0</v></c><c r="F466" s="72"><f>IF(OR(A466&gt;&apos;Property Calculator&apos;!$B$70*12,D466&lt;=0),0,D466*C466/12)</f><v>0</v></c><c r="G466" s="72"><f>IF(OR(A466&gt;&apos;Property Calculator&apos;!$B$70*12,D466&lt;=0),0,MAX(0,MIN(D466,E466-F466)))</f><v>0</v></c><c r="H466" s="126"><v>0</v></c><c r="I466" s="72"><f>IF(A466&gt;&apos;Property Calculator&apos;!$B$70*12,0,MAX(0,D466-G466-J466))</f><v>0</v></c><c r="J466" s="72"><f>IF(OR(A466&gt;&apos;Property Calculator&apos;!$B$70*12,D466&lt;=0),0,MIN(H466,MAX(0,D466-G466)))</f><v>0</v></c></row><row r="467" spans="1:10" x14ac:dyDescent="0.25"><c r="A467"><v>464</v></c><c r="B467"><f t="shared" si="7"/>&lt;v&gt;39&lt;/v&gt;&lt;/c&gt;&lt;c r=&quot;C467&quot; s=&quot;37&quot;&gt;&lt;f&gt;IF(A467&gt;&apos;Property Calculator&apos;!$B$70*12,0,IF(AND(&apos;Property Calculator&apos;!$B$72=1,B467&gt;&apos;Property Calculator&apos;!$B$69),&apos;Property Calculator&apos;!$B$73,&apos;Property Calculator&apos;!$B$65))</f><v>0</v></c><c r="D467" s="72"><f>IF(A467&gt;&apos;Property Calculator&apos;!$B$70*12,0,I466)</f><v>0</v></c><c r="E467" s="72"><f>IF(OR(A467&gt;&apos;Property Calculator&apos;!$B$70*12,D467&lt;=0),0,IF(AND(&apos;Property Calculator&apos;!$B$72=1,B467&gt;&apos;Property Calculator&apos;!$B$69),MIN(D467*C467/12+&apos;Property Calculator&apos;!$B$74/12,D467*(1+C467/12)),MIN(&apos;Property Calculator&apos;!$B$67,D467*(1+C467/12))))</f><v>0</v></c><c r="F467" s="72"><f>IF(OR(A467&gt;&apos;Property Calculator&apos;!$B$70*12,D467&lt;=0),0,D467*C467/12)</f><v>0</v></c><c r="G467" s="72"><f>IF(OR(A467&gt;&apos;Property Calculator&apos;!$B$70*12,D467&lt;=0),0,MAX(0,MIN(D467,E467-F467)))</f><v>0</v></c><c r="H467" s="126"><v>0</v></c><c r="I467" s="72"><f>IF(A467&gt;&apos;Property Calculator&apos;!$B$70*12,0,MAX(0,D467-G467-J467))</f><v>0</v></c><c r="J467" s="72"><f>IF(OR(A467&gt;&apos;Property Calculator&apos;!$B$70*12,D467&lt;=0),0,MIN(H467,MAX(0,D467-G467)))</f><v>0</v></c></row><row r="468" spans="1:10" x14ac:dyDescent="0.25"><c r="A468"><v>465</v></c><c r="B468"><f t="shared" si="7"/>&lt;v&gt;39&lt;/v&gt;&lt;/c&gt;&lt;c r=&quot;C468&quot; s=&quot;37&quot;&gt;&lt;f&gt;IF(A468&gt;&apos;Property Calculator&apos;!$B$70*12,0,IF(AND(&apos;Property Calculator&apos;!$B$72=1,B468&gt;&apos;Property Calculator&apos;!$B$69),&apos;Property Calculator&apos;!$B$73,&apos;Property Calculator&apos;!$B$65))</f><v>0</v></c><c r="D468" s="72"><f>IF(A468&gt;&apos;Property Calculator&apos;!$B$70*12,0,I467)</f><v>0</v></c><c r="E468" s="72"><f>IF(OR(A468&gt;&apos;Property Calculator&apos;!$B$70*12,D468&lt;=0),0,IF(AND(&apos;Property Calculator&apos;!$B$72=1,B468&gt;&apos;Property Calculator&apos;!$B$69),MIN(D468*C468/12+&apos;Property Calculator&apos;!$B$74/12,D468*(1+C468/12)),MIN(&apos;Property Calculator&apos;!$B$67,D468*(1+C468/12))))</f><v>0</v></c><c r="F468" s="72"><f>IF(OR(A468&gt;&apos;Property Calculator&apos;!$B$70*12,D468&lt;=0),0,D468*C468/12)</f><v>0</v></c><c r="G468" s="72"><f>IF(OR(A468&gt;&apos;Property Calculator&apos;!$B$70*12,D468&lt;=0),0,MAX(0,MIN(D468,E468-F468)))</f><v>0</v></c><c r="H468" s="126"><v>0</v></c><c r="I468" s="72"><f>IF(A468&gt;&apos;Property Calculator&apos;!$B$70*12,0,MAX(0,D468-G468-J468))</f><v>0</v></c><c r="J468" s="72"><f>IF(OR(A468&gt;&apos;Property Calculator&apos;!$B$70*12,D468&lt;=0),0,MIN(H468,MAX(0,D468-G468)))</f><v>0</v></c></row><row r="469" spans="1:10" x14ac:dyDescent="0.25"><c r="A469"><v>466</v></c><c r="B469"><f t="shared" si="7"/>&lt;v&gt;39&lt;/v&gt;&lt;/c&gt;&lt;c r=&quot;C469&quot; s=&quot;37&quot;&gt;&lt;f&gt;IF(A469&gt;&apos;Property Calculator&apos;!$B$70*12,0,IF(AND(&apos;Property Calculator&apos;!$B$72=1,B469&gt;&apos;Property Calculator&apos;!$B$69),&apos;Property Calculator&apos;!$B$73,&apos;Property Calculator&apos;!$B$65))</f><v>0</v></c><c r="D469" s="72"><f>IF(A469&gt;&apos;Property Calculator&apos;!$B$70*12,0,I468)</f><v>0</v></c><c r="E469" s="72"><f>IF(OR(A469&gt;&apos;Property Calculator&apos;!$B$70*12,D469&lt;=0),0,IF(AND(&apos;Property Calculator&apos;!$B$72=1,B469&gt;&apos;Property Calculator&apos;!$B$69),MIN(D469*C469/12+&apos;Property Calculator&apos;!$B$74/12,D469*(1+C469/12)),MIN(&apos;Property Calculator&apos;!$B$67,D469*(1+C469/12))))</f><v>0</v></c><c r="F469" s="72"><f>IF(OR(A469&gt;&apos;Property Calculator&apos;!$B$70*12,D469&lt;=0),0,D469*C469/12)</f><v>0</v></c><c r="G469" s="72"><f>IF(OR(A469&gt;&apos;Property Calculator&apos;!$B$70*12,D469&lt;=0),0,MAX(0,MIN(D469,E469-F469)))</f><v>0</v></c><c r="H469" s="126"><v>0</v></c><c r="I469" s="72"><f>IF(A469&gt;&apos;Property Calculator&apos;!$B$70*12,0,MAX(0,D469-G469-J469))</f><v>0</v></c><c r="J469" s="72"><f>IF(OR(A469&gt;&apos;Property Calculator&apos;!$B$70*12,D469&lt;=0),0,MIN(H469,MAX(0,D469-G469)))</f><v>0</v></c></row><row r="470" spans="1:10" x14ac:dyDescent="0.25"><c r="A470"><v>467</v></c><c r="B470"><f t="shared" si="7"/>&lt;v&gt;39&lt;/v&gt;&lt;/c&gt;&lt;c r=&quot;C470&quot; s=&quot;37&quot;&gt;&lt;f&gt;IF(A470&gt;&apos;Property Calculator&apos;!$B$70*12,0,IF(AND(&apos;Property Calculator&apos;!$B$72=1,B470&gt;&apos;Property Calculator&apos;!$B$69),&apos;Property Calculator&apos;!$B$73,&apos;Property Calculator&apos;!$B$65))</f><v>0</v></c><c r="D470" s="72"><f>IF(A470&gt;&apos;Property Calculator&apos;!$B$70*12,0,I469)</f><v>0</v></c><c r="E470" s="72"><f>IF(OR(A470&gt;&apos;Property Calculator&apos;!$B$70*12,D470&lt;=0),0,IF(AND(&apos;Property Calculator&apos;!$B$72=1,B470&gt;&apos;Property Calculator&apos;!$B$69),MIN(D470*C470/12+&apos;Property Calculator&apos;!$B$74/12,D470*(1+C470/12)),MIN(&apos;Property Calculator&apos;!$B$67,D470*(1+C470/12))))</f><v>0</v></c><c r="F470" s="72"><f>IF(OR(A470&gt;&apos;Property Calculator&apos;!$B$70*12,D470&lt;=0),0,D470*C470/12)</f><v>0</v></c><c r="G470" s="72"><f>IF(OR(A470&gt;&apos;Property Calculator&apos;!$B$70*12,D470&lt;=0),0,MAX(0,MIN(D470,E470-F470)))</f><v>0</v></c><c r="H470" s="126"><v>0</v></c><c r="I470" s="72"><f>IF(A470&gt;&apos;Property Calculator&apos;!$B$70*12,0,MAX(0,D470-G470-J470))</f><v>0</v></c><c r="J470" s="72"><f>IF(OR(A470&gt;&apos;Property Calculator&apos;!$B$70*12,D470&lt;=0),0,MIN(H470,MAX(0,D470-G470)))</f><v>0</v></c></row><row r="471" spans="1:10" x14ac:dyDescent="0.25"><c r="A471"><v>468</v></c><c r="B471"><f t="shared" si="7"/>&lt;v&gt;39&lt;/v&gt;&lt;/c&gt;&lt;c r=&quot;C471&quot; s=&quot;37&quot;&gt;&lt;f&gt;IF(A471&gt;&apos;Property Calculator&apos;!$B$70*12,0,IF(AND(&apos;Property Calculator&apos;!$B$72=1,B471&gt;&apos;Property Calculator&apos;!$B$69),&apos;Property Calculator&apos;!$B$73,&apos;Property Calculator&apos;!$B$65))</f><v>0</v></c><c r="D471" s="72"><f>IF(A471&gt;&apos;Property Calculator&apos;!$B$70*12,0,I470)</f><v>0</v></c><c r="E471" s="72"><f>IF(OR(A471&gt;&apos;Property Calculator&apos;!$B$70*12,D471&lt;=0),0,IF(AND(&apos;Property Calculator&apos;!$B$72=1,B471&gt;&apos;Property Calculator&apos;!$B$69),MIN(D471*C471/12+&apos;Property Calculator&apos;!$B$74/12,D471*(1+C471/12)),MIN(&apos;Property Calculator&apos;!$B$67,D471*(1+C471/12))))</f><v>0</v></c><c r="F471" s="72"><f>IF(OR(A471&gt;&apos;Property Calculator&apos;!$B$70*12,D471&lt;=0),0,D471*C471/12)</f><v>0</v></c><c r="G471" s="72"><f>IF(OR(A471&gt;&apos;Property Calculator&apos;!$B$70*12,D471&lt;=0),0,MAX(0,MIN(D471,E471-F471)))</f><v>0</v></c><c r="H471" s="126"><v>0</v></c><c r="I471" s="72"><f>IF(A471&gt;&apos;Property Calculator&apos;!$B$70*12,0,MAX(0,D471-G471-J471))</f><v>0</v></c><c r="J471" s="72"><f>IF(OR(A471&gt;&apos;Property Calculator&apos;!$B$70*12,D471&lt;=0),0,MIN(H471,MAX(0,D471-G471)))</f><v>0</v></c></row><row r="472" spans="1:10" x14ac:dyDescent="0.25"><c r="A472"><v>469</v></c><c r="B472"><f t="shared" si="7"/>&lt;v&gt;40&lt;/v&gt;&lt;/c&gt;&lt;c r=&quot;C472&quot; s=&quot;37&quot;&gt;&lt;f&gt;IF(A472&gt;&apos;Property Calculator&apos;!$B$70*12,0,IF(AND(&apos;Property Calculator&apos;!$B$72=1,B472&gt;&apos;Property Calculator&apos;!$B$69),&apos;Property Calculator&apos;!$B$73,&apos;Property Calculator&apos;!$B$65))</f><v>0</v></c><c r="D472" s="72"><f>IF(A472&gt;&apos;Property Calculator&apos;!$B$70*12,0,I471)</f><v>0</v></c><c r="E472" s="72"><f>IF(OR(A472&gt;&apos;Property Calculator&apos;!$B$70*12,D472&lt;=0),0,IF(AND(&apos;Property Calculator&apos;!$B$72=1,B472&gt;&apos;Property Calculator&apos;!$B$69),MIN(D472*C472/12+&apos;Property Calculator&apos;!$B$74/12,D472*(1+C472/12)),MIN(&apos;Property Calculator&apos;!$B$67,D472*(1+C472/12))))</f><v>0</v></c><c r="F472" s="72"><f>IF(OR(A472&gt;&apos;Property Calculator&apos;!$B$70*12,D472&lt;=0),0,D472*C472/12)</f><v>0</v></c><c r="G472" s="72"><f>IF(OR(A472&gt;&apos;Property Calculator&apos;!$B$70*12,D472&lt;=0),0,MAX(0,MIN(D472,E472-F472)))</f><v>0</v></c><c r="H472" s="126"><v>0</v></c><c r="I472" s="72"><f>IF(A472&gt;&apos;Property Calculator&apos;!$B$70*12,0,MAX(0,D472-G472-J472))</f><v>0</v></c><c r="J472" s="72"><f>IF(OR(A472&gt;&apos;Property Calculator&apos;!$B$70*12,D472&lt;=0),0,MIN(H472,MAX(0,D472-G472)))</f><v>0</v></c></row><row r="473" spans="1:10" x14ac:dyDescent="0.25"><c r="A473"><v>470</v></c><c r="B473"><f t="shared" si="7"/>&lt;v&gt;40&lt;/v&gt;&lt;/c&gt;&lt;c r=&quot;C473&quot; s=&quot;37&quot;&gt;&lt;f&gt;IF(A473&gt;&apos;Property Calculator&apos;!$B$70*12,0,IF(AND(&apos;Property Calculator&apos;!$B$72=1,B473&gt;&apos;Property Calculator&apos;!$B$69),&apos;Property Calculator&apos;!$B$73,&apos;Property Calculator&apos;!$B$65))</f><v>0</v></c><c r="D473" s="72"><f>IF(A473&gt;&apos;Property Calculator&apos;!$B$70*12,0,I472)</f><v>0</v></c><c r="E473" s="72"><f>IF(OR(A473&gt;&apos;Property Calculator&apos;!$B$70*12,D473&lt;=0),0,IF(AND(&apos;Property Calculator&apos;!$B$72=1,B473&gt;&apos;Property Calculator&apos;!$B$69),MIN(D473*C473/12+&apos;Property Calculator&apos;!$B$74/12,D473*(1+C473/12)),MIN(&apos;Property Calculator&apos;!$B$67,D473*(1+C473/12))))</f><v>0</v></c><c r="F473" s="72"><f>IF(OR(A473&gt;&apos;Property Calculator&apos;!$B$70*12,D473&lt;=0),0,D473*C473/12)</f><v>0</v></c><c r="G473" s="72"><f>IF(OR(A473&gt;&apos;Property Calculator&apos;!$B$70*12,D473&lt;=0),0,MAX(0,MIN(D473,E473-F473)))</f><v>0</v></c><c r="H473" s="126"><v>0</v></c><c r="I473" s="72"><f>IF(A473&gt;&apos;Property Calculator&apos;!$B$70*12,0,MAX(0,D473-G473-J473))</f><v>0</v></c><c r="J473" s="72"><f>IF(OR(A473&gt;&apos;Property Calculator&apos;!$B$70*12,D473&lt;=0),0,MIN(H473,MAX(0,D473-G473)))</f><v>0</v></c></row><row r="474" spans="1:10" x14ac:dyDescent="0.25"><c r="A474"><v>471</v></c><c r="B474"><f t="shared" si="7"/>&lt;v&gt;40&lt;/v&gt;&lt;/c&gt;&lt;c r=&quot;C474&quot; s=&quot;37&quot;&gt;&lt;f&gt;IF(A474&gt;&apos;Property Calculator&apos;!$B$70*12,0,IF(AND(&apos;Property Calculator&apos;!$B$72=1,B474&gt;&apos;Property Calculator&apos;!$B$69),&apos;Property Calculator&apos;!$B$73,&apos;Property Calculator&apos;!$B$65))</f><v>0</v></c><c r="D474" s="72"><f>IF(A474&gt;&apos;Property Calculator&apos;!$B$70*12,0,I473)</f><v>0</v></c><c r="E474" s="72"><f>IF(OR(A474&gt;&apos;Property Calculator&apos;!$B$70*12,D474&lt;=0),0,IF(AND(&apos;Property Calculator&apos;!$B$72=1,B474&gt;&apos;Property Calculator&apos;!$B$69),MIN(D474*C474/12+&apos;Property Calculator&apos;!$B$74/12,D474*(1+C474/12)),MIN(&apos;Property Calculator&apos;!$B$67,D474*(1+C474/12))))</f><v>0</v></c><c r="F474" s="72"><f>IF(OR(A474&gt;&apos;Property Calculator&apos;!$B$70*12,D474&lt;=0),0,D474*C474/12)</f><v>0</v></c><c r="G474" s="72"><f>IF(OR(A474&gt;&apos;Property Calculator&apos;!$B$70*12,D474&lt;=0),0,MAX(0,MIN(D474,E474-F474)))</f><v>0</v></c><c r="H474" s="126"><v>0</v></c><c r="I474" s="72"><f>IF(A474&gt;&apos;Property Calculator&apos;!$B$70*12,0,MAX(0,D474-G474-J474))</f><v>0</v></c><c r="J474" s="72"><f>IF(OR(A474&gt;&apos;Property Calculator&apos;!$B$70*12,D474&lt;=0),0,MIN(H474,MAX(0,D474-G474)))</f><v>0</v></c></row><row r="475" spans="1:10" x14ac:dyDescent="0.25"><c r="A475"><v>472</v></c><c r="B475"><f t="shared" si="7"/>&lt;v&gt;40&lt;/v&gt;&lt;/c&gt;&lt;c r=&quot;C475&quot; s=&quot;37&quot;&gt;&lt;f&gt;IF(A475&gt;&apos;Property Calculator&apos;!$B$70*12,0,IF(AND(&apos;Property Calculator&apos;!$B$72=1,B475&gt;&apos;Property Calculator&apos;!$B$69),&apos;Property Calculator&apos;!$B$73,&apos;Property Calculator&apos;!$B$65))</f><v>0</v></c><c r="D475" s="72"><f>IF(A475&gt;&apos;Property Calculator&apos;!$B$70*12,0,I474)</f><v>0</v></c><c r="E475" s="72"><f>IF(OR(A475&gt;&apos;Property Calculator&apos;!$B$70*12,D475&lt;=0),0,IF(AND(&apos;Property Calculator&apos;!$B$72=1,B475&gt;&apos;Property Calculator&apos;!$B$69),MIN(D475*C475/12+&apos;Property Calculator&apos;!$B$74/12,D475*(1+C475/12)),MIN(&apos;Property Calculator&apos;!$B$67,D475*(1+C475/12))))</f><v>0</v></c><c r="F475" s="72"><f>IF(OR(A475&gt;&apos;Property Calculator&apos;!$B$70*12,D475&lt;=0),0,D475*C475/12)</f><v>0</v></c><c r="G475" s="72"><f>IF(OR(A475&gt;&apos;Property Calculator&apos;!$B$70*12,D475&lt;=0),0,MAX(0,MIN(D475,E475-F475)))</f><v>0</v></c><c r="H475" s="126"><v>0</v></c><c r="I475" s="72"><f>IF(A475&gt;&apos;Property Calculator&apos;!$B$70*12,0,MAX(0,D475-G475-J475))</f><v>0</v></c><c r="J475" s="72"><f>IF(OR(A475&gt;&apos;Property Calculator&apos;!$B$70*12,D475&lt;=0),0,MIN(H475,MAX(0,D475-G475)))</f><v>0</v></c></row><row r="476" spans="1:10" x14ac:dyDescent="0.25"><c r="A476"><v>473</v></c><c r="B476"><f t="shared" si="7"/>&lt;v&gt;40&lt;/v&gt;&lt;/c&gt;&lt;c r=&quot;C476&quot; s=&quot;37&quot;&gt;&lt;f&gt;IF(A476&gt;&apos;Property Calculator&apos;!$B$70*12,0,IF(AND(&apos;Property Calculator&apos;!$B$72=1,B476&gt;&apos;Property Calculator&apos;!$B$69),&apos;Property Calculator&apos;!$B$73,&apos;Property Calculator&apos;!$B$65))</f><v>0</v></c><c r="D476" s="72"><f>IF(A476&gt;&apos;Property Calculator&apos;!$B$70*12,0,I475)</f><v>0</v></c><c r="E476" s="72"><f>IF(OR(A476&gt;&apos;Property Calculator&apos;!$B$70*12,D476&lt;=0),0,IF(AND(&apos;Property Calculator&apos;!$B$72=1,B476&gt;&apos;Property Calculator&apos;!$B$69),MIN(D476*C476/12+&apos;Property Calculator&apos;!$B$74/12,D476*(1+C476/12)),MIN(&apos;Property Calculator&apos;!$B$67,D476*(1+C476/12))))</f><v>0</v></c><c r="F476" s="72"><f>IF(OR(A476&gt;&apos;Property Calculator&apos;!$B$70*12,D476&lt;=0),0,D476*C476/12)</f><v>0</v></c><c r="G476" s="72"><f>IF(OR(A476&gt;&apos;Property Calculator&apos;!$B$70*12,D476&lt;=0),0,MAX(0,MIN(D476,E476-F476)))</f><v>0</v></c><c r="H476" s="126"><v>0</v></c><c r="I476" s="72"><f>IF(A476&gt;&apos;Property Calculator&apos;!$B$70*12,0,MAX(0,D476-G476-J476))</f><v>0</v></c><c r="J476" s="72"><f>IF(OR(A476&gt;&apos;Property Calculator&apos;!$B$70*12,D476&lt;=0),0,MIN(H476,MAX(0,D476-G476)))</f><v>0</v></c></row><row r="477" spans="1:10" x14ac:dyDescent="0.25"><c r="A477"><v>474</v></c><c r="B477"><f t="shared" si="7"/>&lt;v&gt;40&lt;/v&gt;&lt;/c&gt;&lt;c r=&quot;C477&quot; s=&quot;37&quot;&gt;&lt;f&gt;IF(A477&gt;&apos;Property Calculator&apos;!$B$70*12,0,IF(AND(&apos;Property Calculator&apos;!$B$72=1,B477&gt;&apos;Property Calculator&apos;!$B$69),&apos;Property Calculator&apos;!$B$73,&apos;Property Calculator&apos;!$B$65))</f><v>0</v></c><c r="D477" s="72"><f>IF(A477&gt;&apos;Property Calculator&apos;!$B$70*12,0,I476)</f><v>0</v></c><c r="E477" s="72"><f>IF(OR(A477&gt;&apos;Property Calculator&apos;!$B$70*12,D477&lt;=0),0,IF(AND(&apos;Property Calculator&apos;!$B$72=1,B477&gt;&apos;Property Calculator&apos;!$B$69),MIN(D477*C477/12+&apos;Property Calculator&apos;!$B$74/12,D477*(1+C477/12)),MIN(&apos;Property Calculator&apos;!$B$67,D477*(1+C477/12))))</f><v>0</v></c><c r="F477" s="72"><f>IF(OR(A477&gt;&apos;Property Calculator&apos;!$B$70*12,D477&lt;=0),0,D477*C477/12)</f><v>0</v></c><c r="G477" s="72"><f>IF(OR(A477&gt;&apos;Property Calculator&apos;!$B$70*12,D477&lt;=0),0,MAX(0,MIN(D477,E477-F477)))</f><v>0</v></c><c r="H477" s="126"><v>0</v></c><c r="I477" s="72"><f>IF(A477&gt;&apos;Property Calculator&apos;!$B$70*12,0,MAX(0,D477-G477-J477))</f><v>0</v></c><c r="J477" s="72"><f>IF(OR(A477&gt;&apos;Property Calculator&apos;!$B$70*12,D477&lt;=0),0,MIN(H477,MAX(0,D477-G477)))</f><v>0</v></c></row><row r="478" spans="1:10" x14ac:dyDescent="0.25"><c r="A478"><v>475</v></c><c r="B478"><f t="shared" si="7"/>&lt;v&gt;40&lt;/v&gt;&lt;/c&gt;&lt;c r=&quot;C478&quot; s=&quot;37&quot;&gt;&lt;f&gt;IF(A478&gt;&apos;Property Calculator&apos;!$B$70*12,0,IF(AND(&apos;Property Calculator&apos;!$B$72=1,B478&gt;&apos;Property Calculator&apos;!$B$69),&apos;Property Calculator&apos;!$B$73,&apos;Property Calculator&apos;!$B$65))</f><v>0</v></c><c r="D478" s="72"><f>IF(A478&gt;&apos;Property Calculator&apos;!$B$70*12,0,I477)</f><v>0</v></c><c r="E478" s="72"><f>IF(OR(A478&gt;&apos;Property Calculator&apos;!$B$70*12,D478&lt;=0),0,IF(AND(&apos;Property Calculator&apos;!$B$72=1,B478&gt;&apos;Property Calculator&apos;!$B$69),MIN(D478*C478/12+&apos;Property Calculator&apos;!$B$74/12,D478*(1+C478/12)),MIN(&apos;Property Calculator&apos;!$B$67,D478*(1+C478/12))))</f><v>0</v></c><c r="F478" s="72"><f>IF(OR(A478&gt;&apos;Property Calculator&apos;!$B$70*12,D478&lt;=0),0,D478*C478/12)</f><v>0</v></c><c r="G478" s="72"><f>IF(OR(A478&gt;&apos;Property Calculator&apos;!$B$70*12,D478&lt;=0),0,MAX(0,MIN(D478,E478-F478)))</f><v>0</v></c><c r="H478" s="126"><v>0</v></c><c r="I478" s="72"><f>IF(A478&gt;&apos;Property Calculator&apos;!$B$70*12,0,MAX(0,D478-G478-J478))</f><v>0</v></c><c r="J478" s="72"><f>IF(OR(A478&gt;&apos;Property Calculator&apos;!$B$70*12,D478&lt;=0),0,MIN(H478,MAX(0,D478-G478)))</f><v>0</v></c></row><row r="479" spans="1:10" x14ac:dyDescent="0.25"><c r="A479"><v>476</v></c><c r="B479"><f t="shared" si="7"/>&lt;v&gt;40&lt;/v&gt;&lt;/c&gt;&lt;c r=&quot;C479&quot; s=&quot;37&quot;&gt;&lt;f&gt;IF(A479&gt;&apos;Property Calculator&apos;!$B$70*12,0,IF(AND(&apos;Property Calculator&apos;!$B$72=1,B479&gt;&apos;Property Calculator&apos;!$B$69),&apos;Property Calculator&apos;!$B$73,&apos;Property Calculator&apos;!$B$65))</f><v>0</v></c><c r="D479" s="72"><f>IF(A479&gt;&apos;Property Calculator&apos;!$B$70*12,0,I478)</f><v>0</v></c><c r="E479" s="72"><f>IF(OR(A479&gt;&apos;Property Calculator&apos;!$B$70*12,D479&lt;=0),0,IF(AND(&apos;Property Calculator&apos;!$B$72=1,B479&gt;&apos;Property Calculator&apos;!$B$69),MIN(D479*C479/12+&apos;Property Calculator&apos;!$B$74/12,D479*(1+C479/12)),MIN(&apos;Property Calculator&apos;!$B$67,D479*(1+C479/12))))</f><v>0</v></c><c r="F479" s="72"><f>IF(OR(A479&gt;&apos;Property Calculator&apos;!$B$70*12,D479&lt;=0),0,D479*C479/12)</f><v>0</v></c><c r="G479" s="72"><f>IF(OR(A479&gt;&apos;Property Calculator&apos;!$B$70*12,D479&lt;=0),0,MAX(0,MIN(D479,E479-F479)))</f><v>0</v></c><c r="H479" s="126"><v>0</v></c><c r="I479" s="72"><f>IF(A479&gt;&apos;Property Calculator&apos;!$B$70*12,0,MAX(0,D479-G479-J479))</f><v>0</v></c><c r="J479" s="72"><f>IF(OR(A479&gt;&apos;Property Calculator&apos;!$B$70*12,D479&lt;=0),0,MIN(H479,MAX(0,D479-G479)))</f><v>0</v></c></row><row r="480" spans="1:10" x14ac:dyDescent="0.25"><c r="A480"><v>477</v></c><c r="B480"><f t="shared" si="7"/>&lt;v&gt;40&lt;/v&gt;&lt;/c&gt;&lt;c r=&quot;C480&quot; s=&quot;37&quot;&gt;&lt;f&gt;IF(A480&gt;&apos;Property Calculator&apos;!$B$70*12,0,IF(AND(&apos;Property Calculator&apos;!$B$72=1,B480&gt;&apos;Property Calculator&apos;!$B$69),&apos;Property Calculator&apos;!$B$73,&apos;Property Calculator&apos;!$B$65))</f><v>0</v></c><c r="D480" s="72"><f>IF(A480&gt;&apos;Property Calculator&apos;!$B$70*12,0,I479)</f><v>0</v></c><c r="E480" s="72"><f>IF(OR(A480&gt;&apos;Property Calculator&apos;!$B$70*12,D480&lt;=0),0,IF(AND(&apos;Property Calculator&apos;!$B$72=1,B480&gt;&apos;Property Calculator&apos;!$B$69),MIN(D480*C480/12+&apos;Property Calculator&apos;!$B$74/12,D480*(1+C480/12)),MIN(&apos;Property Calculator&apos;!$B$67,D480*(1+C480/12))))</f><v>0</v></c><c r="F480" s="72"><f>IF(OR(A480&gt;&apos;Property Calculator&apos;!$B$70*12,D480&lt;=0),0,D480*C480/12)</f><v>0</v></c><c r="G480" s="72"><f>IF(OR(A480&gt;&apos;Property Calculator&apos;!$B$70*12,D480&lt;=0),0,MAX(0,MIN(D480,E480-F480)))</f><v>0</v></c><c r="H480" s="126"><v>0</v></c><c r="I480" s="72"><f>IF(A480&gt;&apos;Property Calculator&apos;!$B$70*12,0,MAX(0,D480-G480-J480))</f><v>0</v></c><c r="J480" s="72"><f>IF(OR(A480&gt;&apos;Property Calculator&apos;!$B$70*12,D480&lt;=0),0,MIN(H480,MAX(0,D480-G480)))</f><v>0</v></c></row><row r="481" spans="1:10" x14ac:dyDescent="0.25"><c r="A481"><v>478</v></c><c r="B481"><f t="shared" si="7"/>&lt;v&gt;40&lt;/v&gt;&lt;/c&gt;&lt;c r=&quot;C481&quot; s=&quot;37&quot;&gt;&lt;f&gt;IF(A481&gt;&apos;Property Calculator&apos;!$B$70*12,0,IF(AND(&apos;Property Calculator&apos;!$B$72=1,B481&gt;&apos;Property Calculator&apos;!$B$69),&apos;Property Calculator&apos;!$B$73,&apos;Property Calculator&apos;!$B$65))</f><v>0</v></c><c r="D481" s="72"><f>IF(A481&gt;&apos;Property Calculator&apos;!$B$70*12,0,I480)</f><v>0</v></c><c r="E481" s="72"><f>IF(OR(A481&gt;&apos;Property Calculator&apos;!$B$70*12,D481&lt;=0),0,IF(AND(&apos;Property Calculator&apos;!$B$72=1,B481&gt;&apos;Property Calculator&apos;!$B$69),MIN(D481*C481/12+&apos;Property Calculator&apos;!$B$74/12,D481*(1+C481/12)),MIN(&apos;Property Calculator&apos;!$B$67,D481*(1+C481/12))))</f><v>0</v></c><c r="F481" s="72"><f>IF(OR(A481&gt;&apos;Property Calculator&apos;!$B$70*12,D481&lt;=0),0,D481*C481/12)</f><v>0</v></c><c r="G481" s="72"><f>IF(OR(A481&gt;&apos;Property Calculator&apos;!$B$70*12,D481&lt;=0),0,MAX(0,MIN(D481,E481-F481)))</f><v>0</v></c><c r="H481" s="126"><v>0</v></c><c r="I481" s="72"><f>IF(A481&gt;&apos;Property Calculator&apos;!$B$70*12,0,MAX(0,D481-G481-J481))</f><v>0</v></c><c r="J481" s="72"><f>IF(OR(A481&gt;&apos;Property Calculator&apos;!$B$70*12,D481&lt;=0),0,MIN(H481,MAX(0,D481-G481)))</f><v>0</v></c></row><row r="482" spans="1:10" x14ac:dyDescent="0.25"><c r="A482"><v>479</v></c><c r="B482"><f t="shared" si="7"/>&lt;v&gt;40&lt;/v&gt;&lt;/c&gt;&lt;c r=&quot;C482&quot; s=&quot;37&quot;&gt;&lt;f&gt;IF(A482&gt;&apos;Property Calculator&apos;!$B$70*12,0,IF(AND(&apos;Property Calculator&apos;!$B$72=1,B482&gt;&apos;Property Calculator&apos;!$B$69),&apos;Property Calculator&apos;!$B$73,&apos;Property Calculator&apos;!$B$65))</f><v>0</v></c><c r="D482" s="72"><f>IF(A482&gt;&apos;Property Calculator&apos;!$B$70*12,0,I481)</f><v>0</v></c><c r="E482" s="72"><f>IF(OR(A482&gt;&apos;Property Calculator&apos;!$B$70*12,D482&lt;=0),0,IF(AND(&apos;Property Calculator&apos;!$B$72=1,B482&gt;&apos;Property Calculator&apos;!$B$69),MIN(D482*C482/12+&apos;Property Calculator&apos;!$B$74/12,D482*(1+C482/12)),MIN(&apos;Property Calculator&apos;!$B$67,D482*(1+C482/12))))</f><v>0</v></c><c r="F482" s="72"><f>IF(OR(A482&gt;&apos;Property Calculator&apos;!$B$70*12,D482&lt;=0),0,D482*C482/12)</f><v>0</v></c><c r="G482" s="72"><f>IF(OR(A482&gt;&apos;Property Calculator&apos;!$B$70*12,D482&lt;=0),0,MAX(0,MIN(D482,E482-F482)))</f><v>0</v></c><c r="H482" s="126"><v>0</v></c><c r="I482" s="72"><f>IF(A482&gt;&apos;Property Calculator&apos;!$B$70*12,0,MAX(0,D482-G482-J482))</f><v>0</v></c><c r="J482" s="72"><f>IF(OR(A482&gt;&apos;Property Calculator&apos;!$B$70*12,D482&lt;=0),0,MIN(H482,MAX(0,D482-G482)))</f><v>0</v></c></row><row r="483" spans="1:10" x14ac:dyDescent="0.25"><c r="A483"><v>480</v></c><c r="B483"><f t="shared" si="7"/>&lt;v&gt;40&lt;/v&gt;&lt;/c&gt;&lt;c r=&quot;C483&quot; s=&quot;37&quot;&gt;&lt;f&gt;IF(A483&gt;&apos;Property Calculator&apos;!$B$70*12,0,IF(AND(&apos;Property Calculator&apos;!$B$72=1,B483&gt;&apos;Property Calculator&apos;!$B$69),&apos;Property Calculator&apos;!$B$73,&apos;Property Calculator&apos;!$B$65))</f><v>0</v></c><c r="D483" s="72"><f>IF(A483&gt;&apos;Property Calculator&apos;!$B$70*12,0,I482)</f><v>0</v></c><c r="E483" s="72"><f>IF(OR(A483&gt;&apos;Property Calculator&apos;!$B$70*12,D483&lt;=0),0,IF(AND(&apos;Property Calculator&apos;!$B$72=1,B483&gt;&apos;Property Calculator&apos;!$B$69),MIN(D483*C483/12+&apos;Property Calculator&apos;!$B$74/12,D483*(1+C483/12)),MIN(&apos;Property Calculator&apos;!$B$67,D483*(1+C483/12))))</f><v>0</v></c><c r="F483" s="72"><f>IF(OR(A483&gt;&apos;Property Calculator&apos;!$B$70*12,D483&lt;=0),0,D483*C483/12)</f><v>0</v></c><c r="G483" s="72"><f>IF(OR(A483&gt;&apos;Property Calculator&apos;!$B$70*12,D483&lt;=0),0,MAX(0,MIN(D483,E483-F483)))</f><v>0</v></c><c r="H483" s="126"><v>0</v></c><c r="I483" s="72"><f>IF(A483&gt;&apos;Property Calculator&apos;!$B$70*12,0,MAX(0,D483-G483-J483))</f><v>0</v></c><c r="J483" s="72"><f>IF(OR(A483&gt;&apos;Property Calculator&apos;!$B$70*12,D483&lt;=0),0,MIN(H483,MAX(0,D483-G483)))</f><v>0</v></c></row><row r="484" spans="1:10" x14ac:dyDescent="0.25"><c r="A484"><v>481</v></c><c r="B484"><f t="shared" si="7"/>&lt;v&gt;41&lt;/v&gt;&lt;/c&gt;&lt;c r=&quot;C484&quot; s=&quot;37&quot;&gt;&lt;f&gt;IF(A484&gt;&apos;Property Calculator&apos;!$B$70*12,0,IF(AND(&apos;Property Calculator&apos;!$B$72=1,B484&gt;&apos;Property Calculator&apos;!$B$69),&apos;Property Calculator&apos;!$B$73,&apos;Property Calculator&apos;!$B$65))</f><v>0</v></c><c r="D484" s="72"><f>IF(A484&gt;&apos;Property Calculator&apos;!$B$70*12,0,I483)</f><v>0</v></c><c r="E484" s="72"><f>IF(OR(A484&gt;&apos;Property Calculator&apos;!$B$70*12,D484&lt;=0),0,IF(AND(&apos;Property Calculator&apos;!$B$72=1,B484&gt;&apos;Property Calculator&apos;!$B$69),MIN(D484*C484/12+&apos;Property Calculator&apos;!$B$74/12,D484*(1+C484/12)),MIN(&apos;Property Calculator&apos;!$B$67,D484*(1+C484/12))))</f><v>0</v></c><c r="F484" s="72"><f>IF(OR(A484&gt;&apos;Property Calculator&apos;!$B$70*12,D484&lt;=0),0,D484*C484/12)</f><v>0</v></c><c r="G484" s="72"><f>IF(OR(A484&gt;&apos;Property Calculator&apos;!$B$70*12,D484&lt;=0),0,MAX(0,MIN(D484,E484-F484)))</f><v>0</v></c><c r="H484" s="126"><v>0</v></c><c r="I484" s="72"><f>IF(A484&gt;&apos;Property Calculator&apos;!$B$70*12,0,MAX(0,D484-G484-J484))</f><v>0</v></c><c r="J484" s="72"><f>IF(OR(A484&gt;&apos;Property Calculator&apos;!$B$70*12,D484&lt;=0),0,MIN(H484,MAX(0,D484-G484)))</f><v>0</v></c></row><row r="485" spans="1:10" x14ac:dyDescent="0.25"><c r="A485"><v>482</v></c><c r="B485"><f t="shared" si="7"/>&lt;v&gt;41&lt;/v&gt;&lt;/c&gt;&lt;c r=&quot;C485&quot; s=&quot;37&quot;&gt;&lt;f&gt;IF(A485&gt;&apos;Property Calculator&apos;!$B$70*12,0,IF(AND(&apos;Property Calculator&apos;!$B$72=1,B485&gt;&apos;Property Calculator&apos;!$B$69),&apos;Property Calculator&apos;!$B$73,&apos;Property Calculator&apos;!$B$65))</f><v>0</v></c><c r="D485" s="72"><f>IF(A485&gt;&apos;Property Calculator&apos;!$B$70*12,0,I484)</f><v>0</v></c><c r="E485" s="72"><f>IF(OR(A485&gt;&apos;Property Calculator&apos;!$B$70*12,D485&lt;=0),0,IF(AND(&apos;Property Calculator&apos;!$B$72=1,B485&gt;&apos;Property Calculator&apos;!$B$69),MIN(D485*C485/12+&apos;Property Calculator&apos;!$B$74/12,D485*(1+C485/12)),MIN(&apos;Property Calculator&apos;!$B$67,D485*(1+C485/12))))</f><v>0</v></c><c r="F485" s="72"><f>IF(OR(A485&gt;&apos;Property Calculator&apos;!$B$70*12,D485&lt;=0),0,D485*C485/12)</f><v>0</v></c><c r="G485" s="72"><f>IF(OR(A485&gt;&apos;Property Calculator&apos;!$B$70*12,D485&lt;=0),0,MAX(0,MIN(D485,E485-F485)))</f><v>0</v></c><c r="H485" s="126"><v>0</v></c><c r="I485" s="72"><f>IF(A485&gt;&apos;Property Calculator&apos;!$B$70*12,0,MAX(0,D485-G485-J485))</f><v>0</v></c><c r="J485" s="72"><f>IF(OR(A485&gt;&apos;Property Calculator&apos;!$B$70*12,D485&lt;=0),0,MIN(H485,MAX(0,D485-G485)))</f><v>0</v></c></row><row r="486" spans="1:10" x14ac:dyDescent="0.25"><c r="A486"><v>483</v></c><c r="B486"><f t="shared" si="7"/>&lt;v&gt;41&lt;/v&gt;&lt;/c&gt;&lt;c r=&quot;C486&quot; s=&quot;37&quot;&gt;&lt;f&gt;IF(A486&gt;&apos;Property Calculator&apos;!$B$70*12,0,IF(AND(&apos;Property Calculator&apos;!$B$72=1,B486&gt;&apos;Property Calculator&apos;!$B$69),&apos;Property Calculator&apos;!$B$73,&apos;Property Calculator&apos;!$B$65))</f><v>0</v></c><c r="D486" s="72"><f>IF(A486&gt;&apos;Property Calculator&apos;!$B$70*12,0,I485)</f><v>0</v></c><c r="E486" s="72"><f>IF(OR(A486&gt;&apos;Property Calculator&apos;!$B$70*12,D486&lt;=0),0,IF(AND(&apos;Property Calculator&apos;!$B$72=1,B486&gt;&apos;Property Calculator&apos;!$B$69),MIN(D486*C486/12+&apos;Property Calculator&apos;!$B$74/12,D486*(1+C486/12)),MIN(&apos;Property Calculator&apos;!$B$67,D486*(1+C486/12))))</f><v>0</v></c><c r="F486" s="72"><f>IF(OR(A486&gt;&apos;Property Calculator&apos;!$B$70*12,D486&lt;=0),0,D486*C486/12)</f><v>0</v></c><c r="G486" s="72"><f>IF(OR(A486&gt;&apos;Property Calculator&apos;!$B$70*12,D486&lt;=0),0,MAX(0,MIN(D486,E486-F486)))</f><v>0</v></c><c r="H486" s="126"><v>0</v></c><c r="I486" s="72"><f>IF(A486&gt;&apos;Property Calculator&apos;!$B$70*12,0,MAX(0,D486-G486-J486))</f><v>0</v></c><c r="J486" s="72"><f>IF(OR(A486&gt;&apos;Property Calculator&apos;!$B$70*12,D486&lt;=0),0,MIN(H486,MAX(0,D486-G486)))</f><v>0</v></c></row><row r="487" spans="1:10" x14ac:dyDescent="0.25"><c r="A487"><v>484</v></c><c r="B487"><f t="shared" si="7"/>&lt;v&gt;41&lt;/v&gt;&lt;/c&gt;&lt;c r=&quot;C487&quot; s=&quot;37&quot;&gt;&lt;f&gt;IF(A487&gt;&apos;Property Calculator&apos;!$B$70*12,0,IF(AND(&apos;Property Calculator&apos;!$B$72=1,B487&gt;&apos;Property Calculator&apos;!$B$69),&apos;Property Calculator&apos;!$B$73,&apos;Property Calculator&apos;!$B$65))</f><v>0</v></c><c r="D487" s="72"><f>IF(A487&gt;&apos;Property Calculator&apos;!$B$70*12,0,I486)</f><v>0</v></c><c r="E487" s="72"><f>IF(OR(A487&gt;&apos;Property Calculator&apos;!$B$70*12,D487&lt;=0),0,IF(AND(&apos;Property Calculator&apos;!$B$72=1,B487&gt;&apos;Property Calculator&apos;!$B$69),MIN(D487*C487/12+&apos;Property Calculator&apos;!$B$74/12,D487*(1+C487/12)),MIN(&apos;Property Calculator&apos;!$B$67,D487*(1+C487/12))))</f><v>0</v></c><c r="F487" s="72"><f>IF(OR(A487&gt;&apos;Property Calculator&apos;!$B$70*12,D487&lt;=0),0,D487*C487/12)</f><v>0</v></c><c r="G487" s="72"><f>IF(OR(A487&gt;&apos;Property Calculator&apos;!$B$70*12,D487&lt;=0),0,MAX(0,MIN(D487,E487-F487)))</f><v>0</v></c><c r="H487" s="126"><v>0</v></c><c r="I487" s="72"><f>IF(A487&gt;&apos;Property Calculator&apos;!$B$70*12,0,MAX(0,D487-G487-J487))</f><v>0</v></c><c r="J487" s="72"><f>IF(OR(A487&gt;&apos;Property Calculator&apos;!$B$70*12,D487&lt;=0),0,MIN(H487,MAX(0,D487-G487)))</f><v>0</v></c></row><row r="488" spans="1:10" x14ac:dyDescent="0.25"><c r="A488"><v>485</v></c><c r="B488"><f t="shared" si="7"/>&lt;v&gt;41&lt;/v&gt;&lt;/c&gt;&lt;c r=&quot;C488&quot; s=&quot;37&quot;&gt;&lt;f&gt;IF(A488&gt;&apos;Property Calculator&apos;!$B$70*12,0,IF(AND(&apos;Property Calculator&apos;!$B$72=1,B488&gt;&apos;Property Calculator&apos;!$B$69),&apos;Property Calculator&apos;!$B$73,&apos;Property Calculator&apos;!$B$65))</f><v>0</v></c><c r="D488" s="72"><f>IF(A488&gt;&apos;Property Calculator&apos;!$B$70*12,0,I487)</f><v>0</v></c><c r="E488" s="72"><f>IF(OR(A488&gt;&apos;Property Calculator&apos;!$B$70*12,D488&lt;=0),0,IF(AND(&apos;Property Calculator&apos;!$B$72=1,B488&gt;&apos;Property Calculator&apos;!$B$69),MIN(D488*C488/12+&apos;Property Calculator&apos;!$B$74/12,D488*(1+C488/12)),MIN(&apos;Property Calculator&apos;!$B$67,D488*(1+C488/12))))</f><v>0</v></c><c r="F488" s="72"><f>IF(OR(A488&gt;&apos;Property Calculator&apos;!$B$70*12,D488&lt;=0),0,D488*C488/12)</f><v>0</v></c><c r="G488" s="72"><f>IF(OR(A488&gt;&apos;Property Calculator&apos;!$B$70*12,D488&lt;=0),0,MAX(0,MIN(D488,E488-F488)))</f><v>0</v></c><c r="H488" s="126"><v>0</v></c><c r="I488" s="72"><f>IF(A488&gt;&apos;Property Calculator&apos;!$B$70*12,0,MAX(0,D488-G488-J488))</f><v>0</v></c><c r="J488" s="72"><f>IF(OR(A488&gt;&apos;Property Calculator&apos;!$B$70*12,D488&lt;=0),0,MIN(H488,MAX(0,D488-G488)))</f><v>0</v></c></row><row r="489" spans="1:10" x14ac:dyDescent="0.25"><c r="A489"><v>486</v></c><c r="B489"><f t="shared" si="7"/>&lt;v&gt;41&lt;/v&gt;&lt;/c&gt;&lt;c r=&quot;C489&quot; s=&quot;37&quot;&gt;&lt;f&gt;IF(A489&gt;&apos;Property Calculator&apos;!$B$70*12,0,IF(AND(&apos;Property Calculator&apos;!$B$72=1,B489&gt;&apos;Property Calculator&apos;!$B$69),&apos;Property Calculator&apos;!$B$73,&apos;Property Calculator&apos;!$B$65))</f><v>0</v></c><c r="D489" s="72"><f>IF(A489&gt;&apos;Property Calculator&apos;!$B$70*12,0,I488)</f><v>0</v></c><c r="E489" s="72"><f>IF(OR(A489&gt;&apos;Property Calculator&apos;!$B$70*12,D489&lt;=0),0,IF(AND(&apos;Property Calculator&apos;!$B$72=1,B489&gt;&apos;Property Calculator&apos;!$B$69),MIN(D489*C489/12+&apos;Property Calculator&apos;!$B$74/12,D489*(1+C489/12)),MIN(&apos;Property Calculator&apos;!$B$67,D489*(1+C489/12))))</f><v>0</v></c><c r="F489" s="72"><f>IF(OR(A489&gt;&apos;Property Calculator&apos;!$B$70*12,D489&lt;=0),0,D489*C489/12)</f><v>0</v></c><c r="G489" s="72"><f>IF(OR(A489&gt;&apos;Property Calculator&apos;!$B$70*12,D489&lt;=0),0,MAX(0,MIN(D489,E489-F489)))</f><v>0</v></c><c r="H489" s="126"><v>0</v></c><c r="I489" s="72"><f>IF(A489&gt;&apos;Property Calculator&apos;!$B$70*12,0,MAX(0,D489-G489-J489))</f><v>0</v></c><c r="J489" s="72"><f>IF(OR(A489&gt;&apos;Property Calculator&apos;!$B$70*12,D489&lt;=0),0,MIN(H489,MAX(0,D489-G489)))</f><v>0</v></c></row><row r="490" spans="1:10" x14ac:dyDescent="0.25"><c r="A490"><v>487</v></c><c r="B490"><f t="shared" si="7"/>&lt;v&gt;41&lt;/v&gt;&lt;/c&gt;&lt;c r=&quot;C490&quot; s=&quot;37&quot;&gt;&lt;f&gt;IF(A490&gt;&apos;Property Calculator&apos;!$B$70*12,0,IF(AND(&apos;Property Calculator&apos;!$B$72=1,B490&gt;&apos;Property Calculator&apos;!$B$69),&apos;Property Calculator&apos;!$B$73,&apos;Property Calculator&apos;!$B$65))</f><v>0</v></c><c r="D490" s="72"><f>IF(A490&gt;&apos;Property Calculator&apos;!$B$70*12,0,I489)</f><v>0</v></c><c r="E490" s="72"><f>IF(OR(A490&gt;&apos;Property Calculator&apos;!$B$70*12,D490&lt;=0),0,IF(AND(&apos;Property Calculator&apos;!$B$72=1,B490&gt;&apos;Property Calculator&apos;!$B$69),MIN(D490*C490/12+&apos;Property Calculator&apos;!$B$74/12,D490*(1+C490/12)),MIN(&apos;Property Calculator&apos;!$B$67,D490*(1+C490/12))))</f><v>0</v></c><c r="F490" s="72"><f>IF(OR(A490&gt;&apos;Property Calculator&apos;!$B$70*12,D490&lt;=0),0,D490*C490/12)</f><v>0</v></c><c r="G490" s="72"><f>IF(OR(A490&gt;&apos;Property Calculator&apos;!$B$70*12,D490&lt;=0),0,MAX(0,MIN(D490,E490-F490)))</f><v>0</v></c><c r="H490" s="126"><v>0</v></c><c r="I490" s="72"><f>IF(A490&gt;&apos;Property Calculator&apos;!$B$70*12,0,MAX(0,D490-G490-J490))</f><v>0</v></c><c r="J490" s="72"><f>IF(OR(A490&gt;&apos;Property Calculator&apos;!$B$70*12,D490&lt;=0),0,MIN(H490,MAX(0,D490-G490)))</f><v>0</v></c></row><row r="491" spans="1:10" x14ac:dyDescent="0.25"><c r="A491"><v>488</v></c><c r="B491"><f t="shared" si="7"/>&lt;v&gt;41&lt;/v&gt;&lt;/c&gt;&lt;c r=&quot;C491&quot; s=&quot;37&quot;&gt;&lt;f&gt;IF(A491&gt;&apos;Property Calculator&apos;!$B$70*12,0,IF(AND(&apos;Property Calculator&apos;!$B$72=1,B491&gt;&apos;Property Calculator&apos;!$B$69),&apos;Property Calculator&apos;!$B$73,&apos;Property Calculator&apos;!$B$65))</f><v>0</v></c><c r="D491" s="72"><f>IF(A491&gt;&apos;Property Calculator&apos;!$B$70*12,0,I490)</f><v>0</v></c><c r="E491" s="72"><f>IF(OR(A491&gt;&apos;Property Calculator&apos;!$B$70*12,D491&lt;=0),0,IF(AND(&apos;Property Calculator&apos;!$B$72=1,B491&gt;&apos;Property Calculator&apos;!$B$69),MIN(D491*C491/12+&apos;Property Calculator&apos;!$B$74/12,D491*(1+C491/12)),MIN(&apos;Property Calculator&apos;!$B$67,D491*(1+C491/12))))</f><v>0</v></c><c r="F491" s="72"><f>IF(OR(A491&gt;&apos;Property Calculator&apos;!$B$70*12,D491&lt;=0),0,D491*C491/12)</f><v>0</v></c><c r="G491" s="72"><f>IF(OR(A491&gt;&apos;Property Calculator&apos;!$B$70*12,D491&lt;=0),0,MAX(0,MIN(D491,E491-F491)))</f><v>0</v></c><c r="H491" s="126"><v>0</v></c><c r="I491" s="72"><f>IF(A491&gt;&apos;Property Calculator&apos;!$B$70*12,0,MAX(0,D491-G491-J491))</f><v>0</v></c><c r="J491" s="72"><f>IF(OR(A491&gt;&apos;Property Calculator&apos;!$B$70*12,D491&lt;=0),0,MIN(H491,MAX(0,D491-G491)))</f><v>0</v></c></row><row r="492" spans="1:10" x14ac:dyDescent="0.25"><c r="A492"><v>489</v></c><c r="B492"><f t="shared" si="7"/>&lt;v&gt;41&lt;/v&gt;&lt;/c&gt;&lt;c r=&quot;C492&quot; s=&quot;37&quot;&gt;&lt;f&gt;IF(A492&gt;&apos;Property Calculator&apos;!$B$70*12,0,IF(AND(&apos;Property Calculator&apos;!$B$72=1,B492&gt;&apos;Property Calculator&apos;!$B$69),&apos;Property Calculator&apos;!$B$73,&apos;Property Calculator&apos;!$B$65))</f><v>0</v></c><c r="D492" s="72"><f>IF(A492&gt;&apos;Property Calculator&apos;!$B$70*12,0,I491)</f><v>0</v></c><c r="E492" s="72"><f>IF(OR(A492&gt;&apos;Property Calculator&apos;!$B$70*12,D492&lt;=0),0,IF(AND(&apos;Property Calculator&apos;!$B$72=1,B492&gt;&apos;Property Calculator&apos;!$B$69),MIN(D492*C492/12+&apos;Property Calculator&apos;!$B$74/12,D492*(1+C492/12)),MIN(&apos;Property Calculator&apos;!$B$67,D492*(1+C492/12))))</f><v>0</v></c><c r="F492" s="72"><f>IF(OR(A492&gt;&apos;Property Calculator&apos;!$B$70*12,D492&lt;=0),0,D492*C492/12)</f><v>0</v></c><c r="G492" s="72"><f>IF(OR(A492&gt;&apos;Property Calculator&apos;!$B$70*12,D492&lt;=0),0,MAX(0,MIN(D492,E492-F492)))</f><v>0</v></c><c r="H492" s="126"><v>0</v></c><c r="I492" s="72"><f>IF(A492&gt;&apos;Property Calculator&apos;!$B$70*12,0,MAX(0,D492-G492-J492))</f><v>0</v></c><c r="J492" s="72"><f>IF(OR(A492&gt;&apos;Property Calculator&apos;!$B$70*12,D492&lt;=0),0,MIN(H492,MAX(0,D492-G492)))</f><v>0</v></c></row><row r="493" spans="1:10" x14ac:dyDescent="0.25"><c r="A493"><v>490</v></c><c r="B493"><f t="shared" si="7"/>&lt;v&gt;41&lt;/v&gt;&lt;/c&gt;&lt;c r=&quot;C493&quot; s=&quot;37&quot;&gt;&lt;f&gt;IF(A493&gt;&apos;Property Calculator&apos;!$B$70*12,0,IF(AND(&apos;Property Calculator&apos;!$B$72=1,B493&gt;&apos;Property Calculator&apos;!$B$69),&apos;Property Calculator&apos;!$B$73,&apos;Property Calculator&apos;!$B$65))</f><v>0</v></c><c r="D493" s="72"><f>IF(A493&gt;&apos;Property Calculator&apos;!$B$70*12,0,I492)</f><v>0</v></c><c r="E493" s="72"><f>IF(OR(A493&gt;&apos;Property Calculator&apos;!$B$70*12,D493&lt;=0),0,IF(AND(&apos;Property Calculator&apos;!$B$72=1,B493&gt;&apos;Property Calculator&apos;!$B$69),MIN(D493*C493/12+&apos;Property Calculator&apos;!$B$74/12,D493*(1+C493/12)),MIN(&apos;Property Calculator&apos;!$B$67,D493*(1+C493/12))))</f><v>0</v></c><c r="F493" s="72"><f>IF(OR(A493&gt;&apos;Property Calculator&apos;!$B$70*12,D493&lt;=0),0,D493*C493/12)</f><v>0</v></c><c r="G493" s="72"><f>IF(OR(A493&gt;&apos;Property Calculator&apos;!$B$70*12,D493&lt;=0),0,MAX(0,MIN(D493,E493-F493)))</f><v>0</v></c><c r="H493" s="126"><v>0</v></c><c r="I493" s="72"><f>IF(A493&gt;&apos;Property Calculator&apos;!$B$70*12,0,MAX(0,D493-G493-J493))</f><v>0</v></c><c r="J493" s="72"><f>IF(OR(A493&gt;&apos;Property Calculator&apos;!$B$70*12,D493&lt;=0),0,MIN(H493,MAX(0,D493-G493)))</f><v>0</v></c></row><row r="494" spans="1:10" x14ac:dyDescent="0.25"><c r="A494"><v>491</v></c><c r="B494"><f t="shared" si="7"/>&lt;v&gt;41&lt;/v&gt;&lt;/c&gt;&lt;c r=&quot;C494&quot; s=&quot;37&quot;&gt;&lt;f&gt;IF(A494&gt;&apos;Property Calculator&apos;!$B$70*12,0,IF(AND(&apos;Property Calculator&apos;!$B$72=1,B494&gt;&apos;Property Calculator&apos;!$B$69),&apos;Property Calculator&apos;!$B$73,&apos;Property Calculator&apos;!$B$65))</f><v>0</v></c><c r="D494" s="72"><f>IF(A494&gt;&apos;Property Calculator&apos;!$B$70*12,0,I493)</f><v>0</v></c><c r="E494" s="72"><f>IF(OR(A494&gt;&apos;Property Calculator&apos;!$B$70*12,D494&lt;=0),0,IF(AND(&apos;Property Calculator&apos;!$B$72=1,B494&gt;&apos;Property Calculator&apos;!$B$69),MIN(D494*C494/12+&apos;Property Calculator&apos;!$B$74/12,D494*(1+C494/12)),MIN(&apos;Property Calculator&apos;!$B$67,D494*(1+C494/12))))</f><v>0</v></c><c r="F494" s="72"><f>IF(OR(A494&gt;&apos;Property Calculator&apos;!$B$70*12,D494&lt;=0),0,D494*C494/12)</f><v>0</v></c><c r="G494" s="72"><f>IF(OR(A494&gt;&apos;Property Calculator&apos;!$B$70*12,D494&lt;=0),0,MAX(0,MIN(D494,E494-F494)))</f><v>0</v></c><c r="H494" s="126"><v>0</v></c><c r="I494" s="72"><f>IF(A494&gt;&apos;Property Calculator&apos;!$B$70*12,0,MAX(0,D494-G494-J494))</f><v>0</v></c><c r="J494" s="72"><f>IF(OR(A494&gt;&apos;Property Calculator&apos;!$B$70*12,D494&lt;=0),0,MIN(H494,MAX(0,D494-G494)))</f><v>0</v></c></row><row r="495" spans="1:10" x14ac:dyDescent="0.25"><c r="A495"><v>492</v></c><c r="B495"><f t="shared" si="7"/>&lt;v&gt;41&lt;/v&gt;&lt;/c&gt;&lt;c r=&quot;C495&quot; s=&quot;37&quot;&gt;&lt;f&gt;IF(A495&gt;&apos;Property Calculator&apos;!$B$70*12,0,IF(AND(&apos;Property Calculator&apos;!$B$72=1,B495&gt;&apos;Property Calculator&apos;!$B$69),&apos;Property Calculator&apos;!$B$73,&apos;Property Calculator&apos;!$B$65))</f><v>0</v></c><c r="D495" s="72"><f>IF(A495&gt;&apos;Property Calculator&apos;!$B$70*12,0,I494)</f><v>0</v></c><c r="E495" s="72"><f>IF(OR(A495&gt;&apos;Property Calculator&apos;!$B$70*12,D495&lt;=0),0,IF(AND(&apos;Property Calculator&apos;!$B$72=1,B495&gt;&apos;Property Calculator&apos;!$B$69),MIN(D495*C495/12+&apos;Property Calculator&apos;!$B$74/12,D495*(1+C495/12)),MIN(&apos;Property Calculator&apos;!$B$67,D495*(1+C495/12))))</f><v>0</v></c><c r="F495" s="72"><f>IF(OR(A495&gt;&apos;Property Calculator&apos;!$B$70*12,D495&lt;=0),0,D495*C495/12)</f><v>0</v></c><c r="G495" s="72"><f>IF(OR(A495&gt;&apos;Property Calculator&apos;!$B$70*12,D495&lt;=0),0,MAX(0,MIN(D495,E495-F495)))</f><v>0</v></c><c r="H495" s="126"><v>0</v></c><c r="I495" s="72"><f>IF(A495&gt;&apos;Property Calculator&apos;!$B$70*12,0,MAX(0,D495-G495-J495))</f><v>0</v></c><c r="J495" s="72"><f>IF(OR(A495&gt;&apos;Property Calculator&apos;!$B$70*12,D495&lt;=0),0,MIN(H495,MAX(0,D495-G495)))</f><v>0</v></c></row><row r="496" spans="1:10" x14ac:dyDescent="0.25"><c r="A496"><v>493</v></c><c r="B496"><f t="shared" si="7"/>&lt;v&gt;42&lt;/v&gt;&lt;/c&gt;&lt;c r=&quot;C496&quot; s=&quot;37&quot;&gt;&lt;f&gt;IF(A496&gt;&apos;Property Calculator&apos;!$B$70*12,0,IF(AND(&apos;Property Calculator&apos;!$B$72=1,B496&gt;&apos;Property Calculator&apos;!$B$69),&apos;Property Calculator&apos;!$B$73,&apos;Property Calculator&apos;!$B$65))</f><v>0</v></c><c r="D496" s="72"><f>IF(A496&gt;&apos;Property Calculator&apos;!$B$70*12,0,I495)</f><v>0</v></c><c r="E496" s="72"><f>IF(OR(A496&gt;&apos;Property Calculator&apos;!$B$70*12,D496&lt;=0),0,IF(AND(&apos;Property Calculator&apos;!$B$72=1,B496&gt;&apos;Property Calculator&apos;!$B$69),MIN(D496*C496/12+&apos;Property Calculator&apos;!$B$74/12,D496*(1+C496/12)),MIN(&apos;Property Calculator&apos;!$B$67,D496*(1+C496/12))))</f><v>0</v></c><c r="F496" s="72"><f>IF(OR(A496&gt;&apos;Property Calculator&apos;!$B$70*12,D496&lt;=0),0,D496*C496/12)</f><v>0</v></c><c r="G496" s="72"><f>IF(OR(A496&gt;&apos;Property Calculator&apos;!$B$70*12,D496&lt;=0),0,MAX(0,MIN(D496,E496-F496)))</f><v>0</v></c><c r="H496" s="126"><v>0</v></c><c r="I496" s="72"><f>IF(A496&gt;&apos;Property Calculator&apos;!$B$70*12,0,MAX(0,D496-G496-J496))</f><v>0</v></c><c r="J496" s="72"><f>IF(OR(A496&gt;&apos;Property Calculator&apos;!$B$70*12,D496&lt;=0),0,MIN(H496,MAX(0,D496-G496)))</f><v>0</v></c></row><row r="497" spans="1:10" x14ac:dyDescent="0.25"><c r="A497"><v>494</v></c><c r="B497"><f t="shared" si="7"/>&lt;v&gt;42&lt;/v&gt;&lt;/c&gt;&lt;c r=&quot;C497&quot; s=&quot;37&quot;&gt;&lt;f&gt;IF(A497&gt;&apos;Property Calculator&apos;!$B$70*12,0,IF(AND(&apos;Property Calculator&apos;!$B$72=1,B497&gt;&apos;Property Calculator&apos;!$B$69),&apos;Property Calculator&apos;!$B$73,&apos;Property Calculator&apos;!$B$65))</f><v>0</v></c><c r="D497" s="72"><f>IF(A497&gt;&apos;Property Calculator&apos;!$B$70*12,0,I496)</f><v>0</v></c><c r="E497" s="72"><f>IF(OR(A497&gt;&apos;Property Calculator&apos;!$B$70*12,D497&lt;=0),0,IF(AND(&apos;Property Calculator&apos;!$B$72=1,B497&gt;&apos;Property Calculator&apos;!$B$69),MIN(D497*C497/12+&apos;Property Calculator&apos;!$B$74/12,D497*(1+C497/12)),MIN(&apos;Property Calculator&apos;!$B$67,D497*(1+C497/12))))</f><v>0</v></c><c r="F497" s="72"><f>IF(OR(A497&gt;&apos;Property Calculator&apos;!$B$70*12,D497&lt;=0),0,D497*C497/12)</f><v>0</v></c><c r="G497" s="72"><f>IF(OR(A497&gt;&apos;Property Calculator&apos;!$B$70*12,D497&lt;=0),0,MAX(0,MIN(D497,E497-F497)))</f><v>0</v></c><c r="H497" s="126"><v>0</v></c><c r="I497" s="72"><f>IF(A497&gt;&apos;Property Calculator&apos;!$B$70*12,0,MAX(0,D497-G497-J497))</f><v>0</v></c><c r="J497" s="72"><f>IF(OR(A497&gt;&apos;Property Calculator&apos;!$B$70*12,D497&lt;=0),0,MIN(H497,MAX(0,D497-G497)))</f><v>0</v></c></row><row r="498" spans="1:10" x14ac:dyDescent="0.25"><c r="A498"><v>495</v></c><c r="B498"><f t="shared" si="7"/>&lt;v&gt;42&lt;/v&gt;&lt;/c&gt;&lt;c r=&quot;C498&quot; s=&quot;37&quot;&gt;&lt;f&gt;IF(A498&gt;&apos;Property Calculator&apos;!$B$70*12,0,IF(AND(&apos;Property Calculator&apos;!$B$72=1,B498&gt;&apos;Property Calculator&apos;!$B$69),&apos;Property Calculator&apos;!$B$73,&apos;Property Calculator&apos;!$B$65))</f><v>0</v></c><c r="D498" s="72"><f>IF(A498&gt;&apos;Property Calculator&apos;!$B$70*12,0,I497)</f><v>0</v></c><c r="E498" s="72"><f>IF(OR(A498&gt;&apos;Property Calculator&apos;!$B$70*12,D498&lt;=0),0,IF(AND(&apos;Property Calculator&apos;!$B$72=1,B498&gt;&apos;Property Calculator&apos;!$B$69),MIN(D498*C498/12+&apos;Property Calculator&apos;!$B$74/12,D498*(1+C498/12)),MIN(&apos;Property Calculator&apos;!$B$67,D498*(1+C498/12))))</f><v>0</v></c><c r="F498" s="72"><f>IF(OR(A498&gt;&apos;Property Calculator&apos;!$B$70*12,D498&lt;=0),0,D498*C498/12)</f><v>0</v></c><c r="G498" s="72"><f>IF(OR(A498&gt;&apos;Property Calculator&apos;!$B$70*12,D498&lt;=0),0,MAX(0,MIN(D498,E498-F498)))</f><v>0</v></c><c r="H498" s="126"><v>0</v></c><c r="I498" s="72"><f>IF(A498&gt;&apos;Property Calculator&apos;!$B$70*12,0,MAX(0,D498-G498-J498))</f><v>0</v></c><c r="J498" s="72"><f>IF(OR(A498&gt;&apos;Property Calculator&apos;!$B$70*12,D498&lt;=0),0,MIN(H498,MAX(0,D498-G498)))</f><v>0</v></c></row><row r="499" spans="1:10" x14ac:dyDescent="0.25"><c r="A499"><v>496</v></c><c r="B499"><f t="shared" si="7"/>&lt;v&gt;42&lt;/v&gt;&lt;/c&gt;&lt;c r=&quot;C499&quot; s=&quot;37&quot;&gt;&lt;f&gt;IF(A499&gt;&apos;Property Calculator&apos;!$B$70*12,0,IF(AND(&apos;Property Calculator&apos;!$B$72=1,B499&gt;&apos;Property Calculator&apos;!$B$69),&apos;Property Calculator&apos;!$B$73,&apos;Property Calculator&apos;!$B$65))</f><v>0</v></c><c r="D499" s="72"><f>IF(A499&gt;&apos;Property Calculator&apos;!$B$70*12,0,I498)</f><v>0</v></c><c r="E499" s="72"><f>IF(OR(A499&gt;&apos;Property Calculator&apos;!$B$70*12,D499&lt;=0),0,IF(AND(&apos;Property Calculator&apos;!$B$72=1,B499&gt;&apos;Property Calculator&apos;!$B$69),MIN(D499*C499/12+&apos;Property Calculator&apos;!$B$74/12,D499*(1+C499/12)),MIN(&apos;Property Calculator&apos;!$B$67,D499*(1+C499/12))))</f><v>0</v></c><c r="F499" s="72"><f>IF(OR(A499&gt;&apos;Property Calculator&apos;!$B$70*12,D499&lt;=0),0,D499*C499/12)</f><v>0</v></c><c r="G499" s="72"><f>IF(OR(A499&gt;&apos;Property Calculator&apos;!$B$70*12,D499&lt;=0),0,MAX(0,MIN(D499,E499-F499)))</f><v>0</v></c><c r="H499" s="126"><v>0</v></c><c r="I499" s="72"><f>IF(A499&gt;&apos;Property Calculator&apos;!$B$70*12,0,MAX(0,D499-G499-J499))</f><v>0</v></c><c r="J499" s="72"><f>IF(OR(A499&gt;&apos;Property Calculator&apos;!$B$70*12,D499&lt;=0),0,MIN(H499,MAX(0,D499-G499)))</f><v>0</v></c></row><row r="500" spans="1:10" x14ac:dyDescent="0.25"><c r="A500"><v>497</v></c><c r="B500"><f t="shared" si="7"/>&lt;v&gt;42&lt;/v&gt;&lt;/c&gt;&lt;c r=&quot;C500&quot; s=&quot;37&quot;&gt;&lt;f&gt;IF(A500&gt;&apos;Property Calculator&apos;!$B$70*12,0,IF(AND(&apos;Property Calculator&apos;!$B$72=1,B500&gt;&apos;Property Calculator&apos;!$B$69),&apos;Property Calculator&apos;!$B$73,&apos;Property Calculator&apos;!$B$65))</f><v>0</v></c><c r="D500" s="72"><f>IF(A500&gt;&apos;Property Calculator&apos;!$B$70*12,0,I499)</f><v>0</v></c><c r="E500" s="72"><f>IF(OR(A500&gt;&apos;Property Calculator&apos;!$B$70*12,D500&lt;=0),0,IF(AND(&apos;Property Calculator&apos;!$B$72=1,B500&gt;&apos;Property Calculator&apos;!$B$69),MIN(D500*C500/12+&apos;Property Calculator&apos;!$B$74/12,D500*(1+C500/12)),MIN(&apos;Property Calculator&apos;!$B$67,D500*(1+C500/12))))</f><v>0</v></c><c r="F500" s="72"><f>IF(OR(A500&gt;&apos;Property Calculator&apos;!$B$70*12,D500&lt;=0),0,D500*C500/12)</f><v>0</v></c><c r="G500" s="72"><f>IF(OR(A500&gt;&apos;Property Calculator&apos;!$B$70*12,D500&lt;=0),0,MAX(0,MIN(D500,E500-F500)))</f><v>0</v></c><c r="H500" s="126"><v>0</v></c><c r="I500" s="72"><f>IF(A500&gt;&apos;Property Calculator&apos;!$B$70*12,0,MAX(0,D500-G500-J500))</f><v>0</v></c><c r="J500" s="72"><f>IF(OR(A500&gt;&apos;Property Calculator&apos;!$B$70*12,D500&lt;=0),0,MIN(H500,MAX(0,D500-G500)))</f><v>0</v></c></row><row r="501" spans="1:10" x14ac:dyDescent="0.25"><c r="A501"><v>498</v></c><c r="B501"><f t="shared" si="7"/>&lt;v&gt;42&lt;/v&gt;&lt;/c&gt;&lt;c r=&quot;C501&quot; s=&quot;37&quot;&gt;&lt;f&gt;IF(A501&gt;&apos;Property Calculator&apos;!$B$70*12,0,IF(AND(&apos;Property Calculator&apos;!$B$72=1,B501&gt;&apos;Property Calculator&apos;!$B$69),&apos;Property Calculator&apos;!$B$73,&apos;Property Calculator&apos;!$B$65))</f><v>0</v></c><c r="D501" s="72"><f>IF(A501&gt;&apos;Property Calculator&apos;!$B$70*12,0,I500)</f><v>0</v></c><c r="E501" s="72"><f>IF(OR(A501&gt;&apos;Property Calculator&apos;!$B$70*12,D501&lt;=0),0,IF(AND(&apos;Property Calculator&apos;!$B$72=1,B501&gt;&apos;Property Calculator&apos;!$B$69),MIN(D501*C501/12+&apos;Property Calculator&apos;!$B$74/12,D501*(1+C501/12)),MIN(&apos;Property Calculator&apos;!$B$67,D501*(1+C501/12))))</f><v>0</v></c><c r="F501" s="72"><f>IF(OR(A501&gt;&apos;Property Calculator&apos;!$B$70*12,D501&lt;=0),0,D501*C501/12)</f><v>0</v></c><c r="G501" s="72"><f>IF(OR(A501&gt;&apos;Property Calculator&apos;!$B$70*12,D501&lt;=0),0,MAX(0,MIN(D501,E501-F501)))</f><v>0</v></c><c r="H501" s="126"><v>0</v></c><c r="I501" s="72"><f>IF(A501&gt;&apos;Property Calculator&apos;!$B$70*12,0,MAX(0,D501-G501-J501))</f><v>0</v></c><c r="J501" s="72"><f>IF(OR(A501&gt;&apos;Property Calculator&apos;!$B$70*12,D501&lt;=0),0,MIN(H501,MAX(0,D501-G501)))</f><v>0</v></c></row><row r="502" spans="1:10" x14ac:dyDescent="0.25"><c r="A502"><v>499</v></c><c r="B502"><f t="shared" si="7"/>&lt;v&gt;42&lt;/v&gt;&lt;/c&gt;&lt;c r=&quot;C502&quot; s=&quot;37&quot;&gt;&lt;f&gt;IF(A502&gt;&apos;Property Calculator&apos;!$B$70*12,0,IF(AND(&apos;Property Calculator&apos;!$B$72=1,B502&gt;&apos;Property Calculator&apos;!$B$69),&apos;Property Calculator&apos;!$B$73,&apos;Property Calculator&apos;!$B$65))</f><v>0</v></c><c r="D502" s="72"><f>IF(A502&gt;&apos;Property Calculator&apos;!$B$70*12,0,I501)</f><v>0</v></c><c r="E502" s="72"><f>IF(OR(A502&gt;&apos;Property Calculator&apos;!$B$70*12,D502&lt;=0),0,IF(AND(&apos;Property Calculator&apos;!$B$72=1,B502&gt;&apos;Property Calculator&apos;!$B$69),MIN(D502*C502/12+&apos;Property Calculator&apos;!$B$74/12,D502*(1+C502/12)),MIN(&apos;Property Calculator&apos;!$B$67,D502*(1+C502/12))))</f><v>0</v></c><c r="F502" s="72"><f>IF(OR(A502&gt;&apos;Property Calculator&apos;!$B$70*12,D502&lt;=0),0,D502*C502/12)</f><v>0</v></c><c r="G502" s="72"><f>IF(OR(A502&gt;&apos;Property Calculator&apos;!$B$70*12,D502&lt;=0),0,MAX(0,MIN(D502,E502-F502)))</f><v>0</v></c><c r="H502" s="126"><v>0</v></c><c r="I502" s="72"><f>IF(A502&gt;&apos;Property Calculator&apos;!$B$70*12,0,MAX(0,D502-G502-J502))</f><v>0</v></c><c r="J502" s="72"><f>IF(OR(A502&gt;&apos;Property Calculator&apos;!$B$70*12,D502&lt;=0),0,MIN(H502,MAX(0,D502-G502)))</f><v>0</v></c></row><row r="503" spans="1:10" x14ac:dyDescent="0.25"><c r="A503"><v>500</v></c><c r="B503"><f t="shared" si="7"/>&lt;v&gt;42&lt;/v&gt;&lt;/c&gt;&lt;c r=&quot;C503&quot; s=&quot;37&quot;&gt;&lt;f&gt;IF(A503&gt;&apos;Property Calculator&apos;!$B$70*12,0,IF(AND(&apos;Property Calculator&apos;!$B$72=1,B503&gt;&apos;Property Calculator&apos;!$B$69),&apos;Property Calculator&apos;!$B$73,&apos;Property Calculator&apos;!$B$65))</f><v>0</v></c><c r="D503" s="72"><f>IF(A503&gt;&apos;Property Calculator&apos;!$B$70*12,0,I502)</f><v>0</v></c><c r="E503" s="72"><f>IF(OR(A503&gt;&apos;Property Calculator&apos;!$B$70*12,D503&lt;=0),0,IF(AND(&apos;Property Calculator&apos;!$B$72=1,B503&gt;&apos;Property Calculator&apos;!$B$69),MIN(D503*C503/12+&apos;Property Calculator&apos;!$B$74/12,D503*(1+C503/12)),MIN(&apos;Property Calculator&apos;!$B$67,D503*(1+C503/12))))</f><v>0</v></c><c r="F503" s="72"><f>IF(OR(A503&gt;&apos;Property Calculator&apos;!$B$70*12,D503&lt;=0),0,D503*C503/12)</f><v>0</v></c><c r="G503" s="72"><f>IF(OR(A503&gt;&apos;Property Calculator&apos;!$B$70*12,D503&lt;=0),0,MAX(0,MIN(D503,E503-F503)))</f><v>0</v></c><c r="H503" s="126"><v>0</v></c><c r="I503" s="72"><f>IF(A503&gt;&apos;Property Calculator&apos;!$B$70*12,0,MAX(0,D503-G503-J503))</f><v>0</v></c><c r="J503" s="72"><f>IF(OR(A503&gt;&apos;Property Calculator&apos;!$B$70*12,D503&lt;=0),0,MIN(H503,MAX(0,D503-G503)))</f><v>0</v></c></row><row r="504" spans="1:10" x14ac:dyDescent="0.25"><c r="A504"><v>501</v></c><c r="B504"><f t="shared" si="7"/>&lt;v&gt;42&lt;/v&gt;&lt;/c&gt;&lt;c r=&quot;C504&quot; s=&quot;37&quot;&gt;&lt;f&gt;IF(A504&gt;&apos;Property Calculator&apos;!$B$70*12,0,IF(AND(&apos;Property Calculator&apos;!$B$72=1,B504&gt;&apos;Property Calculator&apos;!$B$69),&apos;Property Calculator&apos;!$B$73,&apos;Property Calculator&apos;!$B$65))</f><v>0</v></c><c r="D504" s="72"><f>IF(A504&gt;&apos;Property Calculator&apos;!$B$70*12,0,I503)</f><v>0</v></c><c r="E504" s="72"><f>IF(OR(A504&gt;&apos;Property Calculator&apos;!$B$70*12,D504&lt;=0),0,IF(AND(&apos;Property Calculator&apos;!$B$72=1,B504&gt;&apos;Property Calculator&apos;!$B$69),MIN(D504*C504/12+&apos;Property Calculator&apos;!$B$74/12,D504*(1+C504/12)),MIN(&apos;Property Calculator&apos;!$B$67,D504*(1+C504/12))))</f><v>0</v></c><c r="F504" s="72"><f>IF(OR(A504&gt;&apos;Property Calculator&apos;!$B$70*12,D504&lt;=0),0,D504*C504/12)</f><v>0</v></c><c r="G504" s="72"><f>IF(OR(A504&gt;&apos;Property Calculator&apos;!$B$70*12,D504&lt;=0),0,MAX(0,MIN(D504,E504-F504)))</f><v>0</v></c><c r="H504" s="126"><v>0</v></c><c r="I504" s="72"><f>IF(A504&gt;&apos;Property Calculator&apos;!$B$70*12,0,MAX(0,D504-G504-J504))</f><v>0</v></c><c r="J504" s="72"><f>IF(OR(A504&gt;&apos;Property Calculator&apos;!$B$70*12,D504&lt;=0),0,MIN(H504,MAX(0,D504-G504)))</f><v>0</v></c></row><row r="505" spans="1:10" x14ac:dyDescent="0.25"><c r="A505"><v>502</v></c><c r="B505"><f t="shared" si="7"/>&lt;v&gt;42&lt;/v&gt;&lt;/c&gt;&lt;c r=&quot;C505&quot; s=&quot;37&quot;&gt;&lt;f&gt;IF(A505&gt;&apos;Property Calculator&apos;!$B$70*12,0,IF(AND(&apos;Property Calculator&apos;!$B$72=1,B505&gt;&apos;Property Calculator&apos;!$B$69),&apos;Property Calculator&apos;!$B$73,&apos;Property Calculator&apos;!$B$65))</f><v>0</v></c><c r="D505" s="72"><f>IF(A505&gt;&apos;Property Calculator&apos;!$B$70*12,0,I504)</f><v>0</v></c><c r="E505" s="72"><f>IF(OR(A505&gt;&apos;Property Calculator&apos;!$B$70*12,D505&lt;=0),0,IF(AND(&apos;Property Calculator&apos;!$B$72=1,B505&gt;&apos;Property Calculator&apos;!$B$69),MIN(D505*C505/12+&apos;Property Calculator&apos;!$B$74/12,D505*(1+C505/12)),MIN(&apos;Property Calculator&apos;!$B$67,D505*(1+C505/12))))</f><v>0</v></c><c r="F505" s="72"><f>IF(OR(A505&gt;&apos;Property Calculator&apos;!$B$70*12,D505&lt;=0),0,D505*C505/12)</f><v>0</v></c><c r="G505" s="72"><f>IF(OR(A505&gt;&apos;Property Calculator&apos;!$B$70*12,D505&lt;=0),0,MAX(0,MIN(D505,E505-F505)))</f><v>0</v></c><c r="H505" s="126"><v>0</v></c><c r="I505" s="72"><f>IF(A505&gt;&apos;Property Calculator&apos;!$B$70*12,0,MAX(0,D505-G505-J505))</f><v>0</v></c><c r="J505" s="72"><f>IF(OR(A505&gt;&apos;Property Calculator&apos;!$B$70*12,D505&lt;=0),0,MIN(H505,MAX(0,D505-G505)))</f><v>0</v></c></row><row r="506" spans="1:10" x14ac:dyDescent="0.25"><c r="A506"><v>503</v></c><c r="B506"><f t="shared" si="7"/>&lt;v&gt;42&lt;/v&gt;&lt;/c&gt;&lt;c r=&quot;C506&quot; s=&quot;37&quot;&gt;&lt;f&gt;IF(A506&gt;&apos;Property Calculator&apos;!$B$70*12,0,IF(AND(&apos;Property Calculator&apos;!$B$72=1,B506&gt;&apos;Property Calculator&apos;!$B$69),&apos;Property Calculator&apos;!$B$73,&apos;Property Calculator&apos;!$B$65))</f><v>0</v></c><c r="D506" s="72"><f>IF(A506&gt;&apos;Property Calculator&apos;!$B$70*12,0,I505)</f><v>0</v></c><c r="E506" s="72"><f>IF(OR(A506&gt;&apos;Property Calculator&apos;!$B$70*12,D506&lt;=0),0,IF(AND(&apos;Property Calculator&apos;!$B$72=1,B506&gt;&apos;Property Calculator&apos;!$B$69),MIN(D506*C506/12+&apos;Property Calculator&apos;!$B$74/12,D506*(1+C506/12)),MIN(&apos;Property Calculator&apos;!$B$67,D506*(1+C506/12))))</f><v>0</v></c><c r="F506" s="72"><f>IF(OR(A506&gt;&apos;Property Calculator&apos;!$B$70*12,D506&lt;=0),0,D506*C506/12)</f><v>0</v></c><c r="G506" s="72"><f>IF(OR(A506&gt;&apos;Property Calculator&apos;!$B$70*12,D506&lt;=0),0,MAX(0,MIN(D506,E506-F506)))</f><v>0</v></c><c r="H506" s="126"><v>0</v></c><c r="I506" s="72"><f>IF(A506&gt;&apos;Property Calculator&apos;!$B$70*12,0,MAX(0,D506-G506-J506))</f><v>0</v></c><c r="J506" s="72"><f>IF(OR(A506&gt;&apos;Property Calculator&apos;!$B$70*12,D506&lt;=0),0,MIN(H506,MAX(0,D506-G506)))</f><v>0</v></c></row><row r="507" spans="1:10" x14ac:dyDescent="0.25"><c r="A507"><v>504</v></c><c r="B507"><f t="shared" si="7"/>&lt;v&gt;42&lt;/v&gt;&lt;/c&gt;&lt;c r=&quot;C507&quot; s=&quot;37&quot;&gt;&lt;f&gt;IF(A507&gt;&apos;Property Calculator&apos;!$B$70*12,0,IF(AND(&apos;Property Calculator&apos;!$B$72=1,B507&gt;&apos;Property Calculator&apos;!$B$69),&apos;Property Calculator&apos;!$B$73,&apos;Property Calculator&apos;!$B$65))</f><v>0</v></c><c r="D507" s="72"><f>IF(A507&gt;&apos;Property Calculator&apos;!$B$70*12,0,I506)</f><v>0</v></c><c r="E507" s="72"><f>IF(OR(A507&gt;&apos;Property Calculator&apos;!$B$70*12,D507&lt;=0),0,IF(AND(&apos;Property Calculator&apos;!$B$72=1,B507&gt;&apos;Property Calculator&apos;!$B$69),MIN(D507*C507/12+&apos;Property Calculator&apos;!$B$74/12,D507*(1+C507/12)),MIN(&apos;Property Calculator&apos;!$B$67,D507*(1+C507/12))))</f><v>0</v></c><c r="F507" s="72"><f>IF(OR(A507&gt;&apos;Property Calculator&apos;!$B$70*12,D507&lt;=0),0,D507*C507/12)</f><v>0</v></c><c r="G507" s="72"><f>IF(OR(A507&gt;&apos;Property Calculator&apos;!$B$70*12,D507&lt;=0),0,MAX(0,MIN(D507,E507-F507)))</f><v>0</v></c><c r="H507" s="126"><v>0</v></c><c r="I507" s="72"><f>IF(A507&gt;&apos;Property Calculator&apos;!$B$70*12,0,MAX(0,D507-G507-J507))</f><v>0</v></c><c r="J507" s="72"><f>IF(OR(A507&gt;&apos;Property Calculator&apos;!$B$70*12,D507&lt;=0),0,MIN(H507,MAX(0,D507-G507)))</f><v>0</v></c></row><row r="508" spans="1:10" x14ac:dyDescent="0.25"><c r="A508"><v>505</v></c><c r="B508"><f t="shared" si="7"/>&lt;v&gt;43&lt;/v&gt;&lt;/c&gt;&lt;c r=&quot;C508&quot; s=&quot;37&quot;&gt;&lt;f&gt;IF(A508&gt;&apos;Property Calculator&apos;!$B$70*12,0,IF(AND(&apos;Property Calculator&apos;!$B$72=1,B508&gt;&apos;Property Calculator&apos;!$B$69),&apos;Property Calculator&apos;!$B$73,&apos;Property Calculator&apos;!$B$65))</f><v>0</v></c><c r="D508" s="72"><f>IF(A508&gt;&apos;Property Calculator&apos;!$B$70*12,0,I507)</f><v>0</v></c><c r="E508" s="72"><f>IF(OR(A508&gt;&apos;Property Calculator&apos;!$B$70*12,D508&lt;=0),0,IF(AND(&apos;Property Calculator&apos;!$B$72=1,B508&gt;&apos;Property Calculator&apos;!$B$69),MIN(D508*C508/12+&apos;Property Calculator&apos;!$B$74/12,D508*(1+C508/12)),MIN(&apos;Property Calculator&apos;!$B$67,D508*(1+C508/12))))</f><v>0</v></c><c r="F508" s="72"><f>IF(OR(A508&gt;&apos;Property Calculator&apos;!$B$70*12,D508&lt;=0),0,D508*C508/12)</f><v>0</v></c><c r="G508" s="72"><f>IF(OR(A508&gt;&apos;Property Calculator&apos;!$B$70*12,D508&lt;=0),0,MAX(0,MIN(D508,E508-F508)))</f><v>0</v></c><c r="H508" s="126"><v>0</v></c><c r="I508" s="72"><f>IF(A508&gt;&apos;Property Calculator&apos;!$B$70*12,0,MAX(0,D508-G508-J508))</f><v>0</v></c><c r="J508" s="72"><f>IF(OR(A508&gt;&apos;Property Calculator&apos;!$B$70*12,D508&lt;=0),0,MIN(H508,MAX(0,D508-G508)))</f><v>0</v></c></row><row r="509" spans="1:10" x14ac:dyDescent="0.25"><c r="A509"><v>506</v></c><c r="B509"><f t="shared" si="7"/>&lt;v&gt;43&lt;/v&gt;&lt;/c&gt;&lt;c r=&quot;C509&quot; s=&quot;37&quot;&gt;&lt;f&gt;IF(A509&gt;&apos;Property Calculator&apos;!$B$70*12,0,IF(AND(&apos;Property Calculator&apos;!$B$72=1,B509&gt;&apos;Property Calculator&apos;!$B$69),&apos;Property Calculator&apos;!$B$73,&apos;Property Calculator&apos;!$B$65))</f><v>0</v></c><c r="D509" s="72"><f>IF(A509&gt;&apos;Property Calculator&apos;!$B$70*12,0,I508)</f><v>0</v></c><c r="E509" s="72"><f>IF(OR(A509&gt;&apos;Property Calculator&apos;!$B$70*12,D509&lt;=0),0,IF(AND(&apos;Property Calculator&apos;!$B$72=1,B509&gt;&apos;Property Calculator&apos;!$B$69),MIN(D509*C509/12+&apos;Property Calculator&apos;!$B$74/12,D509*(1+C509/12)),MIN(&apos;Property Calculator&apos;!$B$67,D509*(1+C509/12))))</f><v>0</v></c><c r="F509" s="72"><f>IF(OR(A509&gt;&apos;Property Calculator&apos;!$B$70*12,D509&lt;=0),0,D509*C509/12)</f><v>0</v></c><c r="G509" s="72"><f>IF(OR(A509&gt;&apos;Property Calculator&apos;!$B$70*12,D509&lt;=0),0,MAX(0,MIN(D509,E509-F509)))</f><v>0</v></c><c r="H509" s="126"><v>0</v></c><c r="I509" s="72"><f>IF(A509&gt;&apos;Property Calculator&apos;!$B$70*12,0,MAX(0,D509-G509-J509))</f><v>0</v></c><c r="J509" s="72"><f>IF(OR(A509&gt;&apos;Property Calculator&apos;!$B$70*12,D509&lt;=0),0,MIN(H509,MAX(0,D509-G509)))</f><v>0</v></c></row><row r="510" spans="1:10" x14ac:dyDescent="0.25"><c r="A510"><v>507</v></c><c r="B510"><f t="shared" si="7"/>&lt;v&gt;43&lt;/v&gt;&lt;/c&gt;&lt;c r=&quot;C510&quot; s=&quot;37&quot;&gt;&lt;f&gt;IF(A510&gt;&apos;Property Calculator&apos;!$B$70*12,0,IF(AND(&apos;Property Calculator&apos;!$B$72=1,B510&gt;&apos;Property Calculator&apos;!$B$69),&apos;Property Calculator&apos;!$B$73,&apos;Property Calculator&apos;!$B$65))</f><v>0</v></c><c r="D510" s="72"><f>IF(A510&gt;&apos;Property Calculator&apos;!$B$70*12,0,I509)</f><v>0</v></c><c r="E510" s="72"><f>IF(OR(A510&gt;&apos;Property Calculator&apos;!$B$70*12,D510&lt;=0),0,IF(AND(&apos;Property Calculator&apos;!$B$72=1,B510&gt;&apos;Property Calculator&apos;!$B$69),MIN(D510*C510/12+&apos;Property Calculator&apos;!$B$74/12,D510*(1+C510/12)),MIN(&apos;Property Calculator&apos;!$B$67,D510*(1+C510/12))))</f><v>0</v></c><c r="F510" s="72"><f>IF(OR(A510&gt;&apos;Property Calculator&apos;!$B$70*12,D510&lt;=0),0,D510*C510/12)</f><v>0</v></c><c r="G510" s="72"><f>IF(OR(A510&gt;&apos;Property Calculator&apos;!$B$70*12,D510&lt;=0),0,MAX(0,MIN(D510,E510-F510)))</f><v>0</v></c><c r="H510" s="126"><v>0</v></c><c r="I510" s="72"><f>IF(A510&gt;&apos;Property Calculator&apos;!$B$70*12,0,MAX(0,D510-G510-J510))</f><v>0</v></c><c r="J510" s="72"><f>IF(OR(A510&gt;&apos;Property Calculator&apos;!$B$70*12,D510&lt;=0),0,MIN(H510,MAX(0,D510-G510)))</f><v>0</v></c></row><row r="511" spans="1:10" x14ac:dyDescent="0.25"><c r="A511"><v>508</v></c><c r="B511"><f t="shared" si="7"/>&lt;v&gt;43&lt;/v&gt;&lt;/c&gt;&lt;c r=&quot;C511&quot; s=&quot;37&quot;&gt;&lt;f&gt;IF(A511&gt;&apos;Property Calculator&apos;!$B$70*12,0,IF(AND(&apos;Property Calculator&apos;!$B$72=1,B511&gt;&apos;Property Calculator&apos;!$B$69),&apos;Property Calculator&apos;!$B$73,&apos;Property Calculator&apos;!$B$65))</f><v>0</v></c><c r="D511" s="72"><f>IF(A511&gt;&apos;Property Calculator&apos;!$B$70*12,0,I510)</f><v>0</v></c><c r="E511" s="72"><f>IF(OR(A511&gt;&apos;Property Calculator&apos;!$B$70*12,D511&lt;=0),0,IF(AND(&apos;Property Calculator&apos;!$B$72=1,B511&gt;&apos;Property Calculator&apos;!$B$69),MIN(D511*C511/12+&apos;Property Calculator&apos;!$B$74/12,D511*(1+C511/12)),MIN(&apos;Property Calculator&apos;!$B$67,D511*(1+C511/12))))</f><v>0</v></c><c r="F511" s="72"><f>IF(OR(A511&gt;&apos;Property Calculator&apos;!$B$70*12,D511&lt;=0),0,D511*C511/12)</f><v>0</v></c><c r="G511" s="72"><f>IF(OR(A511&gt;&apos;Property Calculator&apos;!$B$70*12,D511&lt;=0),0,MAX(0,MIN(D511,E511-F511)))</f><v>0</v></c><c r="H511" s="126"><v>0</v></c><c r="I511" s="72"><f>IF(A511&gt;&apos;Property Calculator&apos;!$B$70*12,0,MAX(0,D511-G511-J511))</f><v>0</v></c><c r="J511" s="72"><f>IF(OR(A511&gt;&apos;Property Calculator&apos;!$B$70*12,D511&lt;=0),0,MIN(H511,MAX(0,D511-G511)))</f><v>0</v></c></row><row r="512" spans="1:10" x14ac:dyDescent="0.25"><c r="A512"><v>509</v></c><c r="B512"><f t="shared" si="7"/>&lt;v&gt;43&lt;/v&gt;&lt;/c&gt;&lt;c r=&quot;C512&quot; s=&quot;37&quot;&gt;&lt;f&gt;IF(A512&gt;&apos;Property Calculator&apos;!$B$70*12,0,IF(AND(&apos;Property Calculator&apos;!$B$72=1,B512&gt;&apos;Property Calculator&apos;!$B$69),&apos;Property Calculator&apos;!$B$73,&apos;Property Calculator&apos;!$B$65))</f><v>0</v></c><c r="D512" s="72"><f>IF(A512&gt;&apos;Property Calculator&apos;!$B$70*12,0,I511)</f><v>0</v></c><c r="E512" s="72"><f>IF(OR(A512&gt;&apos;Property Calculator&apos;!$B$70*12,D512&lt;=0),0,IF(AND(&apos;Property Calculator&apos;!$B$72=1,B512&gt;&apos;Property Calculator&apos;!$B$69),MIN(D512*C512/12+&apos;Property Calculator&apos;!$B$74/12,D512*(1+C512/12)),MIN(&apos;Property Calculator&apos;!$B$67,D512*(1+C512/12))))</f><v>0</v></c><c r="F512" s="72"><f>IF(OR(A512&gt;&apos;Property Calculator&apos;!$B$70*12,D512&lt;=0),0,D512*C512/12)</f><v>0</v></c><c r="G512" s="72"><f>IF(OR(A512&gt;&apos;Property Calculator&apos;!$B$70*12,D512&lt;=0),0,MAX(0,MIN(D512,E512-F512)))</f><v>0</v></c><c r="H512" s="126"><v>0</v></c><c r="I512" s="72"><f>IF(A512&gt;&apos;Property Calculator&apos;!$B$70*12,0,MAX(0,D512-G512-J512))</f><v>0</v></c><c r="J512" s="72"><f>IF(OR(A512&gt;&apos;Property Calculator&apos;!$B$70*12,D512&lt;=0),0,MIN(H512,MAX(0,D512-G512)))</f><v>0</v></c></row><row r="513" spans="1:10" x14ac:dyDescent="0.25"><c r="A513"><v>510</v></c><c r="B513"><f t="shared" si="7"/>&lt;v&gt;43&lt;/v&gt;&lt;/c&gt;&lt;c r=&quot;C513&quot; s=&quot;37&quot;&gt;&lt;f&gt;IF(A513&gt;&apos;Property Calculator&apos;!$B$70*12,0,IF(AND(&apos;Property Calculator&apos;!$B$72=1,B513&gt;&apos;Property Calculator&apos;!$B$69),&apos;Property Calculator&apos;!$B$73,&apos;Property Calculator&apos;!$B$65))</f><v>0</v></c><c r="D513" s="72"><f>IF(A513&gt;&apos;Property Calculator&apos;!$B$70*12,0,I512)</f><v>0</v></c><c r="E513" s="72"><f>IF(OR(A513&gt;&apos;Property Calculator&apos;!$B$70*12,D513&lt;=0),0,IF(AND(&apos;Property Calculator&apos;!$B$72=1,B513&gt;&apos;Property Calculator&apos;!$B$69),MIN(D513*C513/12+&apos;Property Calculator&apos;!$B$74/12,D513*(1+C513/12)),MIN(&apos;Property Calculator&apos;!$B$67,D513*(1+C513/12))))</f><v>0</v></c><c r="F513" s="72"><f>IF(OR(A513&gt;&apos;Property Calculator&apos;!$B$70*12,D513&lt;=0),0,D513*C513/12)</f><v>0</v></c><c r="G513" s="72"><f>IF(OR(A513&gt;&apos;Property Calculator&apos;!$B$70*12,D513&lt;=0),0,MAX(0,MIN(D513,E513-F513)))</f><v>0</v></c><c r="H513" s="126"><v>0</v></c><c r="I513" s="72"><f>IF(A513&gt;&apos;Property Calculator&apos;!$B$70*12,0,MAX(0,D513-G513-J513))</f><v>0</v></c><c r="J513" s="72"><f>IF(OR(A513&gt;&apos;Property Calculator&apos;!$B$70*12,D513&lt;=0),0,MIN(H513,MAX(0,D513-G513)))</f><v>0</v></c></row><row r="514" spans="1:10" x14ac:dyDescent="0.25"><c r="A514"><v>511</v></c><c r="B514"><f t="shared" si="7"/>&lt;v&gt;43&lt;/v&gt;&lt;/c&gt;&lt;c r=&quot;C514&quot; s=&quot;37&quot;&gt;&lt;f&gt;IF(A514&gt;&apos;Property Calculator&apos;!$B$70*12,0,IF(AND(&apos;Property Calculator&apos;!$B$72=1,B514&gt;&apos;Property Calculator&apos;!$B$69),&apos;Property Calculator&apos;!$B$73,&apos;Property Calculator&apos;!$B$65))</f><v>0</v></c><c r="D514" s="72"><f>IF(A514&gt;&apos;Property Calculator&apos;!$B$70*12,0,I513)</f><v>0</v></c><c r="E514" s="72"><f>IF(OR(A514&gt;&apos;Property Calculator&apos;!$B$70*12,D514&lt;=0),0,IF(AND(&apos;Property Calculator&apos;!$B$72=1,B514&gt;&apos;Property Calculator&apos;!$B$69),MIN(D514*C514/12+&apos;Property Calculator&apos;!$B$74/12,D514*(1+C514/12)),MIN(&apos;Property Calculator&apos;!$B$67,D514*(1+C514/12))))</f><v>0</v></c><c r="F514" s="72"><f>IF(OR(A514&gt;&apos;Property Calculator&apos;!$B$70*12,D514&lt;=0),0,D514*C514/12)</f><v>0</v></c><c r="G514" s="72"><f>IF(OR(A514&gt;&apos;Property Calculator&apos;!$B$70*12,D514&lt;=0),0,MAX(0,MIN(D514,E514-F514)))</f><v>0</v></c><c r="H514" s="126"><v>0</v></c><c r="I514" s="72"><f>IF(A514&gt;&apos;Property Calculator&apos;!$B$70*12,0,MAX(0,D514-G514-J514))</f><v>0</v></c><c r="J514" s="72"><f>IF(OR(A514&gt;&apos;Property Calculator&apos;!$B$70*12,D514&lt;=0),0,MIN(H514,MAX(0,D514-G514)))</f><v>0</v></c></row><row r="515" spans="1:10" x14ac:dyDescent="0.25"><c r="A515"><v>512</v></c><c r="B515"><f t="shared" si="7"/>&lt;v&gt;43&lt;/v&gt;&lt;/c&gt;&lt;c r=&quot;C515&quot; s=&quot;37&quot;&gt;&lt;f&gt;IF(A515&gt;&apos;Property Calculator&apos;!$B$70*12,0,IF(AND(&apos;Property Calculator&apos;!$B$72=1,B515&gt;&apos;Property Calculator&apos;!$B$69),&apos;Property Calculator&apos;!$B$73,&apos;Property Calculator&apos;!$B$65))</f><v>0</v></c><c r="D515" s="72"><f>IF(A515&gt;&apos;Property Calculator&apos;!$B$70*12,0,I514)</f><v>0</v></c><c r="E515" s="72"><f>IF(OR(A515&gt;&apos;Property Calculator&apos;!$B$70*12,D515&lt;=0),0,IF(AND(&apos;Property Calculator&apos;!$B$72=1,B515&gt;&apos;Property Calculator&apos;!$B$69),MIN(D515*C515/12+&apos;Property Calculator&apos;!$B$74/12,D515*(1+C515/12)),MIN(&apos;Property Calculator&apos;!$B$67,D515*(1+C515/12))))</f><v>0</v></c><c r="F515" s="72"><f>IF(OR(A515&gt;&apos;Property Calculator&apos;!$B$70*12,D515&lt;=0),0,D515*C515/12)</f><v>0</v></c><c r="G515" s="72"><f>IF(OR(A515&gt;&apos;Property Calculator&apos;!$B$70*12,D515&lt;=0),0,MAX(0,MIN(D515,E515-F515)))</f><v>0</v></c><c r="H515" s="126"><v>0</v></c><c r="I515" s="72"><f>IF(A515&gt;&apos;Property Calculator&apos;!$B$70*12,0,MAX(0,D515-G515-J515))</f><v>0</v></c><c r="J515" s="72"><f>IF(OR(A515&gt;&apos;Property Calculator&apos;!$B$70*12,D515&lt;=0),0,MIN(H515,MAX(0,D515-G515)))</f><v>0</v></c></row><row r="516" spans="1:10" x14ac:dyDescent="0.25"><c r="A516"><v>513</v></c><c r="B516"><f t="shared" ref="B516:B579" si="8">INT((A516-1)/12)+1</f><v>43</v></c><c r="C516" s="37"><f>IF(A516&gt;&apos;Property Calculator&apos;!$B$70*12,0,IF(AND(&apos;Property Calculator&apos;!$B$72=1,B516&gt;&apos;Property Calculator&apos;!$B$69),&apos;Property Calculator&apos;!$B$73,&apos;Property Calculator&apos;!$B$65))</f><v>0</v></c><c r="D516" s="72"><f>IF(A516&gt;&apos;Property Calculator&apos;!$B$70*12,0,I515)</f><v>0</v></c><c r="E516" s="72"><f>IF(OR(A516&gt;&apos;Property Calculator&apos;!$B$70*12,D516&lt;=0),0,IF(AND(&apos;Property Calculator&apos;!$B$72=1,B516&gt;&apos;Property Calculator&apos;!$B$69),MIN(D516*C516/12+&apos;Property Calculator&apos;!$B$74/12,D516*(1+C516/12)),MIN(&apos;Property Calculator&apos;!$B$67,D516*(1+C516/12))))</f><v>0</v></c><c r="F516" s="72"><f>IF(OR(A516&gt;&apos;Property Calculator&apos;!$B$70*12,D516&lt;=0),0,D516*C516/12)</f><v>0</v></c><c r="G516" s="72"><f>IF(OR(A516&gt;&apos;Property Calculator&apos;!$B$70*12,D516&lt;=0),0,MAX(0,MIN(D516,E516-F516)))</f><v>0</v></c><c r="H516" s="126"><v>0</v></c><c r="I516" s="72"><f>IF(A516&gt;&apos;Property Calculator&apos;!$B$70*12,0,MAX(0,D516-G516-J516))</f><v>0</v></c><c r="J516" s="72"><f>IF(OR(A516&gt;&apos;Property Calculator&apos;!$B$70*12,D516&lt;=0),0,MIN(H516,MAX(0,D516-G516)))</f><v>0</v></c></row><row r="517" spans="1:10" x14ac:dyDescent="0.25"><c r="A517"><v>514</v></c><c r="B517"><f t="shared" si="8"/>&lt;v&gt;43&lt;/v&gt;&lt;/c&gt;&lt;c r=&quot;C517&quot; s=&quot;37&quot;&gt;&lt;f&gt;IF(A517&gt;&apos;Property Calculator&apos;!$B$70*12,0,IF(AND(&apos;Property Calculator&apos;!$B$72=1,B517&gt;&apos;Property Calculator&apos;!$B$69),&apos;Property Calculator&apos;!$B$73,&apos;Property Calculator&apos;!$B$65))</f><v>0</v></c><c r="D517" s="72"><f>IF(A517&gt;&apos;Property Calculator&apos;!$B$70*12,0,I516)</f><v>0</v></c><c r="E517" s="72"><f>IF(OR(A517&gt;&apos;Property Calculator&apos;!$B$70*12,D517&lt;=0),0,IF(AND(&apos;Property Calculator&apos;!$B$72=1,B517&gt;&apos;Property Calculator&apos;!$B$69),MIN(D517*C517/12+&apos;Property Calculator&apos;!$B$74/12,D517*(1+C517/12)),MIN(&apos;Property Calculator&apos;!$B$67,D517*(1+C517/12))))</f><v>0</v></c><c r="F517" s="72"><f>IF(OR(A517&gt;&apos;Property Calculator&apos;!$B$70*12,D517&lt;=0),0,D517*C517/12)</f><v>0</v></c><c r="G517" s="72"><f>IF(OR(A517&gt;&apos;Property Calculator&apos;!$B$70*12,D517&lt;=0),0,MAX(0,MIN(D517,E517-F517)))</f><v>0</v></c><c r="H517" s="126"><v>0</v></c><c r="I517" s="72"><f>IF(A517&gt;&apos;Property Calculator&apos;!$B$70*12,0,MAX(0,D517-G517-J517))</f><v>0</v></c><c r="J517" s="72"><f>IF(OR(A517&gt;&apos;Property Calculator&apos;!$B$70*12,D517&lt;=0),0,MIN(H517,MAX(0,D517-G517)))</f><v>0</v></c></row><row r="518" spans="1:10" x14ac:dyDescent="0.25"><c r="A518"><v>515</v></c><c r="B518"><f t="shared" si="8"/>&lt;v&gt;43&lt;/v&gt;&lt;/c&gt;&lt;c r=&quot;C518&quot; s=&quot;37&quot;&gt;&lt;f&gt;IF(A518&gt;&apos;Property Calculator&apos;!$B$70*12,0,IF(AND(&apos;Property Calculator&apos;!$B$72=1,B518&gt;&apos;Property Calculator&apos;!$B$69),&apos;Property Calculator&apos;!$B$73,&apos;Property Calculator&apos;!$B$65))</f><v>0</v></c><c r="D518" s="72"><f>IF(A518&gt;&apos;Property Calculator&apos;!$B$70*12,0,I517)</f><v>0</v></c><c r="E518" s="72"><f>IF(OR(A518&gt;&apos;Property Calculator&apos;!$B$70*12,D518&lt;=0),0,IF(AND(&apos;Property Calculator&apos;!$B$72=1,B518&gt;&apos;Property Calculator&apos;!$B$69),MIN(D518*C518/12+&apos;Property Calculator&apos;!$B$74/12,D518*(1+C518/12)),MIN(&apos;Property Calculator&apos;!$B$67,D518*(1+C518/12))))</f><v>0</v></c><c r="F518" s="72"><f>IF(OR(A518&gt;&apos;Property Calculator&apos;!$B$70*12,D518&lt;=0),0,D518*C518/12)</f><v>0</v></c><c r="G518" s="72"><f>IF(OR(A518&gt;&apos;Property Calculator&apos;!$B$70*12,D518&lt;=0),0,MAX(0,MIN(D518,E518-F518)))</f><v>0</v></c><c r="H518" s="126"><v>0</v></c><c r="I518" s="72"><f>IF(A518&gt;&apos;Property Calculator&apos;!$B$70*12,0,MAX(0,D518-G518-J518))</f><v>0</v></c><c r="J518" s="72"><f>IF(OR(A518&gt;&apos;Property Calculator&apos;!$B$70*12,D518&lt;=0),0,MIN(H518,MAX(0,D518-G518)))</f><v>0</v></c></row><row r="519" spans="1:10" x14ac:dyDescent="0.25"><c r="A519"><v>516</v></c><c r="B519"><f t="shared" si="8"/>&lt;v&gt;43&lt;/v&gt;&lt;/c&gt;&lt;c r=&quot;C519&quot; s=&quot;37&quot;&gt;&lt;f&gt;IF(A519&gt;&apos;Property Calculator&apos;!$B$70*12,0,IF(AND(&apos;Property Calculator&apos;!$B$72=1,B519&gt;&apos;Property Calculator&apos;!$B$69),&apos;Property Calculator&apos;!$B$73,&apos;Property Calculator&apos;!$B$65))</f><v>0</v></c><c r="D519" s="72"><f>IF(A519&gt;&apos;Property Calculator&apos;!$B$70*12,0,I518)</f><v>0</v></c><c r="E519" s="72"><f>IF(OR(A519&gt;&apos;Property Calculator&apos;!$B$70*12,D519&lt;=0),0,IF(AND(&apos;Property Calculator&apos;!$B$72=1,B519&gt;&apos;Property Calculator&apos;!$B$69),MIN(D519*C519/12+&apos;Property Calculator&apos;!$B$74/12,D519*(1+C519/12)),MIN(&apos;Property Calculator&apos;!$B$67,D519*(1+C519/12))))</f><v>0</v></c><c r="F519" s="72"><f>IF(OR(A519&gt;&apos;Property Calculator&apos;!$B$70*12,D519&lt;=0),0,D519*C519/12)</f><v>0</v></c><c r="G519" s="72"><f>IF(OR(A519&gt;&apos;Property Calculator&apos;!$B$70*12,D519&lt;=0),0,MAX(0,MIN(D519,E519-F519)))</f><v>0</v></c><c r="H519" s="126"><v>0</v></c><c r="I519" s="72"><f>IF(A519&gt;&apos;Property Calculator&apos;!$B$70*12,0,MAX(0,D519-G519-J519))</f><v>0</v></c><c r="J519" s="72"><f>IF(OR(A519&gt;&apos;Property Calculator&apos;!$B$70*12,D519&lt;=0),0,MIN(H519,MAX(0,D519-G519)))</f><v>0</v></c></row><row r="520" spans="1:10" x14ac:dyDescent="0.25"><c r="A520"><v>517</v></c><c r="B520"><f t="shared" si="8"/>&lt;v&gt;44&lt;/v&gt;&lt;/c&gt;&lt;c r=&quot;C520&quot; s=&quot;37&quot;&gt;&lt;f&gt;IF(A520&gt;&apos;Property Calculator&apos;!$B$70*12,0,IF(AND(&apos;Property Calculator&apos;!$B$72=1,B520&gt;&apos;Property Calculator&apos;!$B$69),&apos;Property Calculator&apos;!$B$73,&apos;Property Calculator&apos;!$B$65))</f><v>0</v></c><c r="D520" s="72"><f>IF(A520&gt;&apos;Property Calculator&apos;!$B$70*12,0,I519)</f><v>0</v></c><c r="E520" s="72"><f>IF(OR(A520&gt;&apos;Property Calculator&apos;!$B$70*12,D520&lt;=0),0,IF(AND(&apos;Property Calculator&apos;!$B$72=1,B520&gt;&apos;Property Calculator&apos;!$B$69),MIN(D520*C520/12+&apos;Property Calculator&apos;!$B$74/12,D520*(1+C520/12)),MIN(&apos;Property Calculator&apos;!$B$67,D520*(1+C520/12))))</f><v>0</v></c><c r="F520" s="72"><f>IF(OR(A520&gt;&apos;Property Calculator&apos;!$B$70*12,D520&lt;=0),0,D520*C520/12)</f><v>0</v></c><c r="G520" s="72"><f>IF(OR(A520&gt;&apos;Property Calculator&apos;!$B$70*12,D520&lt;=0),0,MAX(0,MIN(D520,E520-F520)))</f><v>0</v></c><c r="H520" s="126"><v>0</v></c><c r="I520" s="72"><f>IF(A520&gt;&apos;Property Calculator&apos;!$B$70*12,0,MAX(0,D520-G520-J520))</f><v>0</v></c><c r="J520" s="72"><f>IF(OR(A520&gt;&apos;Property Calculator&apos;!$B$70*12,D520&lt;=0),0,MIN(H520,MAX(0,D520-G520)))</f><v>0</v></c></row><row r="521" spans="1:10" x14ac:dyDescent="0.25"><c r="A521"><v>518</v></c><c r="B521"><f t="shared" si="8"/>&lt;v&gt;44&lt;/v&gt;&lt;/c&gt;&lt;c r=&quot;C521&quot; s=&quot;37&quot;&gt;&lt;f&gt;IF(A521&gt;&apos;Property Calculator&apos;!$B$70*12,0,IF(AND(&apos;Property Calculator&apos;!$B$72=1,B521&gt;&apos;Property Calculator&apos;!$B$69),&apos;Property Calculator&apos;!$B$73,&apos;Property Calculator&apos;!$B$65))</f><v>0</v></c><c r="D521" s="72"><f>IF(A521&gt;&apos;Property Calculator&apos;!$B$70*12,0,I520)</f><v>0</v></c><c r="E521" s="72"><f>IF(OR(A521&gt;&apos;Property Calculator&apos;!$B$70*12,D521&lt;=0),0,IF(AND(&apos;Property Calculator&apos;!$B$72=1,B521&gt;&apos;Property Calculator&apos;!$B$69),MIN(D521*C521/12+&apos;Property Calculator&apos;!$B$74/12,D521*(1+C521/12)),MIN(&apos;Property Calculator&apos;!$B$67,D521*(1+C521/12))))</f><v>0</v></c><c r="F521" s="72"><f>IF(OR(A521&gt;&apos;Property Calculator&apos;!$B$70*12,D521&lt;=0),0,D521*C521/12)</f><v>0</v></c><c r="G521" s="72"><f>IF(OR(A521&gt;&apos;Property Calculator&apos;!$B$70*12,D521&lt;=0),0,MAX(0,MIN(D521,E521-F521)))</f><v>0</v></c><c r="H521" s="126"><v>0</v></c><c r="I521" s="72"><f>IF(A521&gt;&apos;Property Calculator&apos;!$B$70*12,0,MAX(0,D521-G521-J521))</f><v>0</v></c><c r="J521" s="72"><f>IF(OR(A521&gt;&apos;Property Calculator&apos;!$B$70*12,D521&lt;=0),0,MIN(H521,MAX(0,D521-G521)))</f><v>0</v></c></row><row r="522" spans="1:10" x14ac:dyDescent="0.25"><c r="A522"><v>519</v></c><c r="B522"><f t="shared" si="8"/>&lt;v&gt;44&lt;/v&gt;&lt;/c&gt;&lt;c r=&quot;C522&quot; s=&quot;37&quot;&gt;&lt;f&gt;IF(A522&gt;&apos;Property Calculator&apos;!$B$70*12,0,IF(AND(&apos;Property Calculator&apos;!$B$72=1,B522&gt;&apos;Property Calculator&apos;!$B$69),&apos;Property Calculator&apos;!$B$73,&apos;Property Calculator&apos;!$B$65))</f><v>0</v></c><c r="D522" s="72"><f>IF(A522&gt;&apos;Property Calculator&apos;!$B$70*12,0,I521)</f><v>0</v></c><c r="E522" s="72"><f>IF(OR(A522&gt;&apos;Property Calculator&apos;!$B$70*12,D522&lt;=0),0,IF(AND(&apos;Property Calculator&apos;!$B$72=1,B522&gt;&apos;Property Calculator&apos;!$B$69),MIN(D522*C522/12+&apos;Property Calculator&apos;!$B$74/12,D522*(1+C522/12)),MIN(&apos;Property Calculator&apos;!$B$67,D522*(1+C522/12))))</f><v>0</v></c><c r="F522" s="72"><f>IF(OR(A522&gt;&apos;Property Calculator&apos;!$B$70*12,D522&lt;=0),0,D522*C522/12)</f><v>0</v></c><c r="G522" s="72"><f>IF(OR(A522&gt;&apos;Property Calculator&apos;!$B$70*12,D522&lt;=0),0,MAX(0,MIN(D522,E522-F522)))</f><v>0</v></c><c r="H522" s="126"><v>0</v></c><c r="I522" s="72"><f>IF(A522&gt;&apos;Property Calculator&apos;!$B$70*12,0,MAX(0,D522-G522-J522))</f><v>0</v></c><c r="J522" s="72"><f>IF(OR(A522&gt;&apos;Property Calculator&apos;!$B$70*12,D522&lt;=0),0,MIN(H522,MAX(0,D522-G522)))</f><v>0</v></c></row><row r="523" spans="1:10" x14ac:dyDescent="0.25"><c r="A523"><v>520</v></c><c r="B523"><f t="shared" si="8"/>&lt;v&gt;44&lt;/v&gt;&lt;/c&gt;&lt;c r=&quot;C523&quot; s=&quot;37&quot;&gt;&lt;f&gt;IF(A523&gt;&apos;Property Calculator&apos;!$B$70*12,0,IF(AND(&apos;Property Calculator&apos;!$B$72=1,B523&gt;&apos;Property Calculator&apos;!$B$69),&apos;Property Calculator&apos;!$B$73,&apos;Property Calculator&apos;!$B$65))</f><v>0</v></c><c r="D523" s="72"><f>IF(A523&gt;&apos;Property Calculator&apos;!$B$70*12,0,I522)</f><v>0</v></c><c r="E523" s="72"><f>IF(OR(A523&gt;&apos;Property Calculator&apos;!$B$70*12,D523&lt;=0),0,IF(AND(&apos;Property Calculator&apos;!$B$72=1,B523&gt;&apos;Property Calculator&apos;!$B$69),MIN(D523*C523/12+&apos;Property Calculator&apos;!$B$74/12,D523*(1+C523/12)),MIN(&apos;Property Calculator&apos;!$B$67,D523*(1+C523/12))))</f><v>0</v></c><c r="F523" s="72"><f>IF(OR(A523&gt;&apos;Property Calculator&apos;!$B$70*12,D523&lt;=0),0,D523*C523/12)</f><v>0</v></c><c r="G523" s="72"><f>IF(OR(A523&gt;&apos;Property Calculator&apos;!$B$70*12,D523&lt;=0),0,MAX(0,MIN(D523,E523-F523)))</f><v>0</v></c><c r="H523" s="126"><v>0</v></c><c r="I523" s="72"><f>IF(A523&gt;&apos;Property Calculator&apos;!$B$70*12,0,MAX(0,D523-G523-J523))</f><v>0</v></c><c r="J523" s="72"><f>IF(OR(A523&gt;&apos;Property Calculator&apos;!$B$70*12,D523&lt;=0),0,MIN(H523,MAX(0,D523-G523)))</f><v>0</v></c></row><row r="524" spans="1:10" x14ac:dyDescent="0.25"><c r="A524"><v>521</v></c><c r="B524"><f t="shared" si="8"/>&lt;v&gt;44&lt;/v&gt;&lt;/c&gt;&lt;c r=&quot;C524&quot; s=&quot;37&quot;&gt;&lt;f&gt;IF(A524&gt;&apos;Property Calculator&apos;!$B$70*12,0,IF(AND(&apos;Property Calculator&apos;!$B$72=1,B524&gt;&apos;Property Calculator&apos;!$B$69),&apos;Property Calculator&apos;!$B$73,&apos;Property Calculator&apos;!$B$65))</f><v>0</v></c><c r="D524" s="72"><f>IF(A524&gt;&apos;Property Calculator&apos;!$B$70*12,0,I523)</f><v>0</v></c><c r="E524" s="72"><f>IF(OR(A524&gt;&apos;Property Calculator&apos;!$B$70*12,D524&lt;=0),0,IF(AND(&apos;Property Calculator&apos;!$B$72=1,B524&gt;&apos;Property Calculator&apos;!$B$69),MIN(D524*C524/12+&apos;Property Calculator&apos;!$B$74/12,D524*(1+C524/12)),MIN(&apos;Property Calculator&apos;!$B$67,D524*(1+C524/12))))</f><v>0</v></c><c r="F524" s="72"><f>IF(OR(A524&gt;&apos;Property Calculator&apos;!$B$70*12,D524&lt;=0),0,D524*C524/12)</f><v>0</v></c><c r="G524" s="72"><f>IF(OR(A524&gt;&apos;Property Calculator&apos;!$B$70*12,D524&lt;=0),0,MAX(0,MIN(D524,E524-F524)))</f><v>0</v></c><c r="H524" s="126"><v>0</v></c><c r="I524" s="72"><f>IF(A524&gt;&apos;Property Calculator&apos;!$B$70*12,0,MAX(0,D524-G524-J524))</f><v>0</v></c><c r="J524" s="72"><f>IF(OR(A524&gt;&apos;Property Calculator&apos;!$B$70*12,D524&lt;=0),0,MIN(H524,MAX(0,D524-G524)))</f><v>0</v></c></row><row r="525" spans="1:10" x14ac:dyDescent="0.25"><c r="A525"><v>522</v></c><c r="B525"><f t="shared" si="8"/>&lt;v&gt;44&lt;/v&gt;&lt;/c&gt;&lt;c r=&quot;C525&quot; s=&quot;37&quot;&gt;&lt;f&gt;IF(A525&gt;&apos;Property Calculator&apos;!$B$70*12,0,IF(AND(&apos;Property Calculator&apos;!$B$72=1,B525&gt;&apos;Property Calculator&apos;!$B$69),&apos;Property Calculator&apos;!$B$73,&apos;Property Calculator&apos;!$B$65))</f><v>0</v></c><c r="D525" s="72"><f>IF(A525&gt;&apos;Property Calculator&apos;!$B$70*12,0,I524)</f><v>0</v></c><c r="E525" s="72"><f>IF(OR(A525&gt;&apos;Property Calculator&apos;!$B$70*12,D525&lt;=0),0,IF(AND(&apos;Property Calculator&apos;!$B$72=1,B525&gt;&apos;Property Calculator&apos;!$B$69),MIN(D525*C525/12+&apos;Property Calculator&apos;!$B$74/12,D525*(1+C525/12)),MIN(&apos;Property Calculator&apos;!$B$67,D525*(1+C525/12))))</f><v>0</v></c><c r="F525" s="72"><f>IF(OR(A525&gt;&apos;Property Calculator&apos;!$B$70*12,D525&lt;=0),0,D525*C525/12)</f><v>0</v></c><c r="G525" s="72"><f>IF(OR(A525&gt;&apos;Property Calculator&apos;!$B$70*12,D525&lt;=0),0,MAX(0,MIN(D525,E525-F525)))</f><v>0</v></c><c r="H525" s="126"><v>0</v></c><c r="I525" s="72"><f>IF(A525&gt;&apos;Property Calculator&apos;!$B$70*12,0,MAX(0,D525-G525-J525))</f><v>0</v></c><c r="J525" s="72"><f>IF(OR(A525&gt;&apos;Property Calculator&apos;!$B$70*12,D525&lt;=0),0,MIN(H525,MAX(0,D525-G525)))</f><v>0</v></c></row><row r="526" spans="1:10" x14ac:dyDescent="0.25"><c r="A526"><v>523</v></c><c r="B526"><f t="shared" si="8"/>&lt;v&gt;44&lt;/v&gt;&lt;/c&gt;&lt;c r=&quot;C526&quot; s=&quot;37&quot;&gt;&lt;f&gt;IF(A526&gt;&apos;Property Calculator&apos;!$B$70*12,0,IF(AND(&apos;Property Calculator&apos;!$B$72=1,B526&gt;&apos;Property Calculator&apos;!$B$69),&apos;Property Calculator&apos;!$B$73,&apos;Property Calculator&apos;!$B$65))</f><v>0</v></c><c r="D526" s="72"><f>IF(A526&gt;&apos;Property Calculator&apos;!$B$70*12,0,I525)</f><v>0</v></c><c r="E526" s="72"><f>IF(OR(A526&gt;&apos;Property Calculator&apos;!$B$70*12,D526&lt;=0),0,IF(AND(&apos;Property Calculator&apos;!$B$72=1,B526&gt;&apos;Property Calculator&apos;!$B$69),MIN(D526*C526/12+&apos;Property Calculator&apos;!$B$74/12,D526*(1+C526/12)),MIN(&apos;Property Calculator&apos;!$B$67,D526*(1+C526/12))))</f><v>0</v></c><c r="F526" s="72"><f>IF(OR(A526&gt;&apos;Property Calculator&apos;!$B$70*12,D526&lt;=0),0,D526*C526/12)</f><v>0</v></c><c r="G526" s="72"><f>IF(OR(A526&gt;&apos;Property Calculator&apos;!$B$70*12,D526&lt;=0),0,MAX(0,MIN(D526,E526-F526)))</f><v>0</v></c><c r="H526" s="126"><v>0</v></c><c r="I526" s="72"><f>IF(A526&gt;&apos;Property Calculator&apos;!$B$70*12,0,MAX(0,D526-G526-J526))</f><v>0</v></c><c r="J526" s="72"><f>IF(OR(A526&gt;&apos;Property Calculator&apos;!$B$70*12,D526&lt;=0),0,MIN(H526,MAX(0,D526-G526)))</f><v>0</v></c></row><row r="527" spans="1:10" x14ac:dyDescent="0.25"><c r="A527"><v>524</v></c><c r="B527"><f t="shared" si="8"/>&lt;v&gt;44&lt;/v&gt;&lt;/c&gt;&lt;c r=&quot;C527&quot; s=&quot;37&quot;&gt;&lt;f&gt;IF(A527&gt;&apos;Property Calculator&apos;!$B$70*12,0,IF(AND(&apos;Property Calculator&apos;!$B$72=1,B527&gt;&apos;Property Calculator&apos;!$B$69),&apos;Property Calculator&apos;!$B$73,&apos;Property Calculator&apos;!$B$65))</f><v>0</v></c><c r="D527" s="72"><f>IF(A527&gt;&apos;Property Calculator&apos;!$B$70*12,0,I526)</f><v>0</v></c><c r="E527" s="72"><f>IF(OR(A527&gt;&apos;Property Calculator&apos;!$B$70*12,D527&lt;=0),0,IF(AND(&apos;Property Calculator&apos;!$B$72=1,B527&gt;&apos;Property Calculator&apos;!$B$69),MIN(D527*C527/12+&apos;Property Calculator&apos;!$B$74/12,D527*(1+C527/12)),MIN(&apos;Property Calculator&apos;!$B$67,D527*(1+C527/12))))</f><v>0</v></c><c r="F527" s="72"><f>IF(OR(A527&gt;&apos;Property Calculator&apos;!$B$70*12,D527&lt;=0),0,D527*C527/12)</f><v>0</v></c><c r="G527" s="72"><f>IF(OR(A527&gt;&apos;Property Calculator&apos;!$B$70*12,D527&lt;=0),0,MAX(0,MIN(D527,E527-F527)))</f><v>0</v></c><c r="H527" s="126"><v>0</v></c><c r="I527" s="72"><f>IF(A527&gt;&apos;Property Calculator&apos;!$B$70*12,0,MAX(0,D527-G527-J527))</f><v>0</v></c><c r="J527" s="72"><f>IF(OR(A527&gt;&apos;Property Calculator&apos;!$B$70*12,D527&lt;=0),0,MIN(H527,MAX(0,D527-G527)))</f><v>0</v></c></row><row r="528" spans="1:10" x14ac:dyDescent="0.25"><c r="A528"><v>525</v></c><c r="B528"><f t="shared" si="8"/>&lt;v&gt;44&lt;/v&gt;&lt;/c&gt;&lt;c r=&quot;C528&quot; s=&quot;37&quot;&gt;&lt;f&gt;IF(A528&gt;&apos;Property Calculator&apos;!$B$70*12,0,IF(AND(&apos;Property Calculator&apos;!$B$72=1,B528&gt;&apos;Property Calculator&apos;!$B$69),&apos;Property Calculator&apos;!$B$73,&apos;Property Calculator&apos;!$B$65))</f><v>0</v></c><c r="D528" s="72"><f>IF(A528&gt;&apos;Property Calculator&apos;!$B$70*12,0,I527)</f><v>0</v></c><c r="E528" s="72"><f>IF(OR(A528&gt;&apos;Property Calculator&apos;!$B$70*12,D528&lt;=0),0,IF(AND(&apos;Property Calculator&apos;!$B$72=1,B528&gt;&apos;Property Calculator&apos;!$B$69),MIN(D528*C528/12+&apos;Property Calculator&apos;!$B$74/12,D528*(1+C528/12)),MIN(&apos;Property Calculator&apos;!$B$67,D528*(1+C528/12))))</f><v>0</v></c><c r="F528" s="72"><f>IF(OR(A528&gt;&apos;Property Calculator&apos;!$B$70*12,D528&lt;=0),0,D528*C528/12)</f><v>0</v></c><c r="G528" s="72"><f>IF(OR(A528&gt;&apos;Property Calculator&apos;!$B$70*12,D528&lt;=0),0,MAX(0,MIN(D528,E528-F528)))</f><v>0</v></c><c r="H528" s="126"><v>0</v></c><c r="I528" s="72"><f>IF(A528&gt;&apos;Property Calculator&apos;!$B$70*12,0,MAX(0,D528-G528-J528))</f><v>0</v></c><c r="J528" s="72"><f>IF(OR(A528&gt;&apos;Property Calculator&apos;!$B$70*12,D528&lt;=0),0,MIN(H528,MAX(0,D528-G528)))</f><v>0</v></c></row><row r="529" spans="1:10" x14ac:dyDescent="0.25"><c r="A529"><v>526</v></c><c r="B529"><f t="shared" si="8"/>&lt;v&gt;44&lt;/v&gt;&lt;/c&gt;&lt;c r=&quot;C529&quot; s=&quot;37&quot;&gt;&lt;f&gt;IF(A529&gt;&apos;Property Calculator&apos;!$B$70*12,0,IF(AND(&apos;Property Calculator&apos;!$B$72=1,B529&gt;&apos;Property Calculator&apos;!$B$69),&apos;Property Calculator&apos;!$B$73,&apos;Property Calculator&apos;!$B$65))</f><v>0</v></c><c r="D529" s="72"><f>IF(A529&gt;&apos;Property Calculator&apos;!$B$70*12,0,I528)</f><v>0</v></c><c r="E529" s="72"><f>IF(OR(A529&gt;&apos;Property Calculator&apos;!$B$70*12,D529&lt;=0),0,IF(AND(&apos;Property Calculator&apos;!$B$72=1,B529&gt;&apos;Property Calculator&apos;!$B$69),MIN(D529*C529/12+&apos;Property Calculator&apos;!$B$74/12,D529*(1+C529/12)),MIN(&apos;Property Calculator&apos;!$B$67,D529*(1+C529/12))))</f><v>0</v></c><c r="F529" s="72"><f>IF(OR(A529&gt;&apos;Property Calculator&apos;!$B$70*12,D529&lt;=0),0,D529*C529/12)</f><v>0</v></c><c r="G529" s="72"><f>IF(OR(A529&gt;&apos;Property Calculator&apos;!$B$70*12,D529&lt;=0),0,MAX(0,MIN(D529,E529-F529)))</f><v>0</v></c><c r="H529" s="126"><v>0</v></c><c r="I529" s="72"><f>IF(A529&gt;&apos;Property Calculator&apos;!$B$70*12,0,MAX(0,D529-G529-J529))</f><v>0</v></c><c r="J529" s="72"><f>IF(OR(A529&gt;&apos;Property Calculator&apos;!$B$70*12,D529&lt;=0),0,MIN(H529,MAX(0,D529-G529)))</f><v>0</v></c></row><row r="530" spans="1:10" x14ac:dyDescent="0.25"><c r="A530"><v>527</v></c><c r="B530"><f t="shared" si="8"/>&lt;v&gt;44&lt;/v&gt;&lt;/c&gt;&lt;c r=&quot;C530&quot; s=&quot;37&quot;&gt;&lt;f&gt;IF(A530&gt;&apos;Property Calculator&apos;!$B$70*12,0,IF(AND(&apos;Property Calculator&apos;!$B$72=1,B530&gt;&apos;Property Calculator&apos;!$B$69),&apos;Property Calculator&apos;!$B$73,&apos;Property Calculator&apos;!$B$65))</f><v>0</v></c><c r="D530" s="72"><f>IF(A530&gt;&apos;Property Calculator&apos;!$B$70*12,0,I529)</f><v>0</v></c><c r="E530" s="72"><f>IF(OR(A530&gt;&apos;Property Calculator&apos;!$B$70*12,D530&lt;=0),0,IF(AND(&apos;Property Calculator&apos;!$B$72=1,B530&gt;&apos;Property Calculator&apos;!$B$69),MIN(D530*C530/12+&apos;Property Calculator&apos;!$B$74/12,D530*(1+C530/12)),MIN(&apos;Property Calculator&apos;!$B$67,D530*(1+C530/12))))</f><v>0</v></c><c r="F530" s="72"><f>IF(OR(A530&gt;&apos;Property Calculator&apos;!$B$70*12,D530&lt;=0),0,D530*C530/12)</f><v>0</v></c><c r="G530" s="72"><f>IF(OR(A530&gt;&apos;Property Calculator&apos;!$B$70*12,D530&lt;=0),0,MAX(0,MIN(D530,E530-F530)))</f><v>0</v></c><c r="H530" s="126"><v>0</v></c><c r="I530" s="72"><f>IF(A530&gt;&apos;Property Calculator&apos;!$B$70*12,0,MAX(0,D530-G530-J530))</f><v>0</v></c><c r="J530" s="72"><f>IF(OR(A530&gt;&apos;Property Calculator&apos;!$B$70*12,D530&lt;=0),0,MIN(H530,MAX(0,D530-G530)))</f><v>0</v></c></row><row r="531" spans="1:10" x14ac:dyDescent="0.25"><c r="A531"><v>528</v></c><c r="B531"><f t="shared" si="8"/>&lt;v&gt;44&lt;/v&gt;&lt;/c&gt;&lt;c r=&quot;C531&quot; s=&quot;37&quot;&gt;&lt;f&gt;IF(A531&gt;&apos;Property Calculator&apos;!$B$70*12,0,IF(AND(&apos;Property Calculator&apos;!$B$72=1,B531&gt;&apos;Property Calculator&apos;!$B$69),&apos;Property Calculator&apos;!$B$73,&apos;Property Calculator&apos;!$B$65))</f><v>0</v></c><c r="D531" s="72"><f>IF(A531&gt;&apos;Property Calculator&apos;!$B$70*12,0,I530)</f><v>0</v></c><c r="E531" s="72"><f>IF(OR(A531&gt;&apos;Property Calculator&apos;!$B$70*12,D531&lt;=0),0,IF(AND(&apos;Property Calculator&apos;!$B$72=1,B531&gt;&apos;Property Calculator&apos;!$B$69),MIN(D531*C531/12+&apos;Property Calculator&apos;!$B$74/12,D531*(1+C531/12)),MIN(&apos;Property Calculator&apos;!$B$67,D531*(1+C531/12))))</f><v>0</v></c><c r="F531" s="72"><f>IF(OR(A531&gt;&apos;Property Calculator&apos;!$B$70*12,D531&lt;=0),0,D531*C531/12)</f><v>0</v></c><c r="G531" s="72"><f>IF(OR(A531&gt;&apos;Property Calculator&apos;!$B$70*12,D531&lt;=0),0,MAX(0,MIN(D531,E531-F531)))</f><v>0</v></c><c r="H531" s="126"><v>0</v></c><c r="I531" s="72"><f>IF(A531&gt;&apos;Property Calculator&apos;!$B$70*12,0,MAX(0,D531-G531-J531))</f><v>0</v></c><c r="J531" s="72"><f>IF(OR(A531&gt;&apos;Property Calculator&apos;!$B$70*12,D531&lt;=0),0,MIN(H531,MAX(0,D531-G531)))</f><v>0</v></c></row><row r="532" spans="1:10" x14ac:dyDescent="0.25"><c r="A532"><v>529</v></c><c r="B532"><f t="shared" si="8"/>&lt;v&gt;45&lt;/v&gt;&lt;/c&gt;&lt;c r=&quot;C532&quot; s=&quot;37&quot;&gt;&lt;f&gt;IF(A532&gt;&apos;Property Calculator&apos;!$B$70*12,0,IF(AND(&apos;Property Calculator&apos;!$B$72=1,B532&gt;&apos;Property Calculator&apos;!$B$69),&apos;Property Calculator&apos;!$B$73,&apos;Property Calculator&apos;!$B$65))</f><v>0</v></c><c r="D532" s="72"><f>IF(A532&gt;&apos;Property Calculator&apos;!$B$70*12,0,I531)</f><v>0</v></c><c r="E532" s="72"><f>IF(OR(A532&gt;&apos;Property Calculator&apos;!$B$70*12,D532&lt;=0),0,IF(AND(&apos;Property Calculator&apos;!$B$72=1,B532&gt;&apos;Property Calculator&apos;!$B$69),MIN(D532*C532/12+&apos;Property Calculator&apos;!$B$74/12,D532*(1+C532/12)),MIN(&apos;Property Calculator&apos;!$B$67,D532*(1+C532/12))))</f><v>0</v></c><c r="F532" s="72"><f>IF(OR(A532&gt;&apos;Property Calculator&apos;!$B$70*12,D532&lt;=0),0,D532*C532/12)</f><v>0</v></c><c r="G532" s="72"><f>IF(OR(A532&gt;&apos;Property Calculator&apos;!$B$70*12,D532&lt;=0),0,MAX(0,MIN(D532,E532-F532)))</f><v>0</v></c><c r="H532" s="126"><v>0</v></c><c r="I532" s="72"><f>IF(A532&gt;&apos;Property Calculator&apos;!$B$70*12,0,MAX(0,D532-G532-J532))</f><v>0</v></c><c r="J532" s="72"><f>IF(OR(A532&gt;&apos;Property Calculator&apos;!$B$70*12,D532&lt;=0),0,MIN(H532,MAX(0,D532-G532)))</f><v>0</v></c></row><row r="533" spans="1:10" x14ac:dyDescent="0.25"><c r="A533"><v>530</v></c><c r="B533"><f t="shared" si="8"/>&lt;v&gt;45&lt;/v&gt;&lt;/c&gt;&lt;c r=&quot;C533&quot; s=&quot;37&quot;&gt;&lt;f&gt;IF(A533&gt;&apos;Property Calculator&apos;!$B$70*12,0,IF(AND(&apos;Property Calculator&apos;!$B$72=1,B533&gt;&apos;Property Calculator&apos;!$B$69),&apos;Property Calculator&apos;!$B$73,&apos;Property Calculator&apos;!$B$65))</f><v>0</v></c><c r="D533" s="72"><f>IF(A533&gt;&apos;Property Calculator&apos;!$B$70*12,0,I532)</f><v>0</v></c><c r="E533" s="72"><f>IF(OR(A533&gt;&apos;Property Calculator&apos;!$B$70*12,D533&lt;=0),0,IF(AND(&apos;Property Calculator&apos;!$B$72=1,B533&gt;&apos;Property Calculator&apos;!$B$69),MIN(D533*C533/12+&apos;Property Calculator&apos;!$B$74/12,D533*(1+C533/12)),MIN(&apos;Property Calculator&apos;!$B$67,D533*(1+C533/12))))</f><v>0</v></c><c r="F533" s="72"><f>IF(OR(A533&gt;&apos;Property Calculator&apos;!$B$70*12,D533&lt;=0),0,D533*C533/12)</f><v>0</v></c><c r="G533" s="72"><f>IF(OR(A533&gt;&apos;Property Calculator&apos;!$B$70*12,D533&lt;=0),0,MAX(0,MIN(D533,E533-F533)))</f><v>0</v></c><c r="H533" s="126"><v>0</v></c><c r="I533" s="72"><f>IF(A533&gt;&apos;Property Calculator&apos;!$B$70*12,0,MAX(0,D533-G533-J533))</f><v>0</v></c><c r="J533" s="72"><f>IF(OR(A533&gt;&apos;Property Calculator&apos;!$B$70*12,D533&lt;=0),0,MIN(H533,MAX(0,D533-G533)))</f><v>0</v></c></row><row r="534" spans="1:10" x14ac:dyDescent="0.25"><c r="A534"><v>531</v></c><c r="B534"><f t="shared" si="8"/>&lt;v&gt;45&lt;/v&gt;&lt;/c&gt;&lt;c r=&quot;C534&quot; s=&quot;37&quot;&gt;&lt;f&gt;IF(A534&gt;&apos;Property Calculator&apos;!$B$70*12,0,IF(AND(&apos;Property Calculator&apos;!$B$72=1,B534&gt;&apos;Property Calculator&apos;!$B$69),&apos;Property Calculator&apos;!$B$73,&apos;Property Calculator&apos;!$B$65))</f><v>0</v></c><c r="D534" s="72"><f>IF(A534&gt;&apos;Property Calculator&apos;!$B$70*12,0,I533)</f><v>0</v></c><c r="E534" s="72"><f>IF(OR(A534&gt;&apos;Property Calculator&apos;!$B$70*12,D534&lt;=0),0,IF(AND(&apos;Property Calculator&apos;!$B$72=1,B534&gt;&apos;Property Calculator&apos;!$B$69),MIN(D534*C534/12+&apos;Property Calculator&apos;!$B$74/12,D534*(1+C534/12)),MIN(&apos;Property Calculator&apos;!$B$67,D534*(1+C534/12))))</f><v>0</v></c><c r="F534" s="72"><f>IF(OR(A534&gt;&apos;Property Calculator&apos;!$B$70*12,D534&lt;=0),0,D534*C534/12)</f><v>0</v></c><c r="G534" s="72"><f>IF(OR(A534&gt;&apos;Property Calculator&apos;!$B$70*12,D534&lt;=0),0,MAX(0,MIN(D534,E534-F534)))</f><v>0</v></c><c r="H534" s="126"><v>0</v></c><c r="I534" s="72"><f>IF(A534&gt;&apos;Property Calculator&apos;!$B$70*12,0,MAX(0,D534-G534-J534))</f><v>0</v></c><c r="J534" s="72"><f>IF(OR(A534&gt;&apos;Property Calculator&apos;!$B$70*12,D534&lt;=0),0,MIN(H534,MAX(0,D534-G534)))</f><v>0</v></c></row><row r="535" spans="1:10" x14ac:dyDescent="0.25"><c r="A535"><v>532</v></c><c r="B535"><f t="shared" si="8"/>&lt;v&gt;45&lt;/v&gt;&lt;/c&gt;&lt;c r=&quot;C535&quot; s=&quot;37&quot;&gt;&lt;f&gt;IF(A535&gt;&apos;Property Calculator&apos;!$B$70*12,0,IF(AND(&apos;Property Calculator&apos;!$B$72=1,B535&gt;&apos;Property Calculator&apos;!$B$69),&apos;Property Calculator&apos;!$B$73,&apos;Property Calculator&apos;!$B$65))</f><v>0</v></c><c r="D535" s="72"><f>IF(A535&gt;&apos;Property Calculator&apos;!$B$70*12,0,I534)</f><v>0</v></c><c r="E535" s="72"><f>IF(OR(A535&gt;&apos;Property Calculator&apos;!$B$70*12,D535&lt;=0),0,IF(AND(&apos;Property Calculator&apos;!$B$72=1,B535&gt;&apos;Property Calculator&apos;!$B$69),MIN(D535*C535/12+&apos;Property Calculator&apos;!$B$74/12,D535*(1+C535/12)),MIN(&apos;Property Calculator&apos;!$B$67,D535*(1+C535/12))))</f><v>0</v></c><c r="F535" s="72"><f>IF(OR(A535&gt;&apos;Property Calculator&apos;!$B$70*12,D535&lt;=0),0,D535*C535/12)</f><v>0</v></c><c r="G535" s="72"><f>IF(OR(A535&gt;&apos;Property Calculator&apos;!$B$70*12,D535&lt;=0),0,MAX(0,MIN(D535,E535-F535)))</f><v>0</v></c><c r="H535" s="126"><v>0</v></c><c r="I535" s="72"><f>IF(A535&gt;&apos;Property Calculator&apos;!$B$70*12,0,MAX(0,D535-G535-J535))</f><v>0</v></c><c r="J535" s="72"><f>IF(OR(A535&gt;&apos;Property Calculator&apos;!$B$70*12,D535&lt;=0),0,MIN(H535,MAX(0,D535-G535)))</f><v>0</v></c></row><row r="536" spans="1:10" x14ac:dyDescent="0.25"><c r="A536"><v>533</v></c><c r="B536"><f t="shared" si="8"/>&lt;v&gt;45&lt;/v&gt;&lt;/c&gt;&lt;c r=&quot;C536&quot; s=&quot;37&quot;&gt;&lt;f&gt;IF(A536&gt;&apos;Property Calculator&apos;!$B$70*12,0,IF(AND(&apos;Property Calculator&apos;!$B$72=1,B536&gt;&apos;Property Calculator&apos;!$B$69),&apos;Property Calculator&apos;!$B$73,&apos;Property Calculator&apos;!$B$65))</f><v>0</v></c><c r="D536" s="72"><f>IF(A536&gt;&apos;Property Calculator&apos;!$B$70*12,0,I535)</f><v>0</v></c><c r="E536" s="72"><f>IF(OR(A536&gt;&apos;Property Calculator&apos;!$B$70*12,D536&lt;=0),0,IF(AND(&apos;Property Calculator&apos;!$B$72=1,B536&gt;&apos;Property Calculator&apos;!$B$69),MIN(D536*C536/12+&apos;Property Calculator&apos;!$B$74/12,D536*(1+C536/12)),MIN(&apos;Property Calculator&apos;!$B$67,D536*(1+C536/12))))</f><v>0</v></c><c r="F536" s="72"><f>IF(OR(A536&gt;&apos;Property Calculator&apos;!$B$70*12,D536&lt;=0),0,D536*C536/12)</f><v>0</v></c><c r="G536" s="72"><f>IF(OR(A536&gt;&apos;Property Calculator&apos;!$B$70*12,D536&lt;=0),0,MAX(0,MIN(D536,E536-F536)))</f><v>0</v></c><c r="H536" s="126"><v>0</v></c><c r="I536" s="72"><f>IF(A536&gt;&apos;Property Calculator&apos;!$B$70*12,0,MAX(0,D536-G536-J536))</f><v>0</v></c><c r="J536" s="72"><f>IF(OR(A536&gt;&apos;Property Calculator&apos;!$B$70*12,D536&lt;=0),0,MIN(H536,MAX(0,D536-G536)))</f><v>0</v></c></row><row r="537" spans="1:10" x14ac:dyDescent="0.25"><c r="A537"><v>534</v></c><c r="B537"><f t="shared" si="8"/>&lt;v&gt;45&lt;/v&gt;&lt;/c&gt;&lt;c r=&quot;C537&quot; s=&quot;37&quot;&gt;&lt;f&gt;IF(A537&gt;&apos;Property Calculator&apos;!$B$70*12,0,IF(AND(&apos;Property Calculator&apos;!$B$72=1,B537&gt;&apos;Property Calculator&apos;!$B$69),&apos;Property Calculator&apos;!$B$73,&apos;Property Calculator&apos;!$B$65))</f><v>0</v></c><c r="D537" s="72"><f>IF(A537&gt;&apos;Property Calculator&apos;!$B$70*12,0,I536)</f><v>0</v></c><c r="E537" s="72"><f>IF(OR(A537&gt;&apos;Property Calculator&apos;!$B$70*12,D537&lt;=0),0,IF(AND(&apos;Property Calculator&apos;!$B$72=1,B537&gt;&apos;Property Calculator&apos;!$B$69),MIN(D537*C537/12+&apos;Property Calculator&apos;!$B$74/12,D537*(1+C537/12)),MIN(&apos;Property Calculator&apos;!$B$67,D537*(1+C537/12))))</f><v>0</v></c><c r="F537" s="72"><f>IF(OR(A537&gt;&apos;Property Calculator&apos;!$B$70*12,D537&lt;=0),0,D537*C537/12)</f><v>0</v></c><c r="G537" s="72"><f>IF(OR(A537&gt;&apos;Property Calculator&apos;!$B$70*12,D537&lt;=0),0,MAX(0,MIN(D537,E537-F537)))</f><v>0</v></c><c r="H537" s="126"><v>0</v></c><c r="I537" s="72"><f>IF(A537&gt;&apos;Property Calculator&apos;!$B$70*12,0,MAX(0,D537-G537-J537))</f><v>0</v></c><c r="J537" s="72"><f>IF(OR(A537&gt;&apos;Property Calculator&apos;!$B$70*12,D537&lt;=0),0,MIN(H537,MAX(0,D537-G537)))</f><v>0</v></c></row><row r="538" spans="1:10" x14ac:dyDescent="0.25"><c r="A538"><v>535</v></c><c r="B538"><f t="shared" si="8"/>&lt;v&gt;45&lt;/v&gt;&lt;/c&gt;&lt;c r=&quot;C538&quot; s=&quot;37&quot;&gt;&lt;f&gt;IF(A538&gt;&apos;Property Calculator&apos;!$B$70*12,0,IF(AND(&apos;Property Calculator&apos;!$B$72=1,B538&gt;&apos;Property Calculator&apos;!$B$69),&apos;Property Calculator&apos;!$B$73,&apos;Property Calculator&apos;!$B$65))</f><v>0</v></c><c r="D538" s="72"><f>IF(A538&gt;&apos;Property Calculator&apos;!$B$70*12,0,I537)</f><v>0</v></c><c r="E538" s="72"><f>IF(OR(A538&gt;&apos;Property Calculator&apos;!$B$70*12,D538&lt;=0),0,IF(AND(&apos;Property Calculator&apos;!$B$72=1,B538&gt;&apos;Property Calculator&apos;!$B$69),MIN(D538*C538/12+&apos;Property Calculator&apos;!$B$74/12,D538*(1+C538/12)),MIN(&apos;Property Calculator&apos;!$B$67,D538*(1+C538/12))))</f><v>0</v></c><c r="F538" s="72"><f>IF(OR(A538&gt;&apos;Property Calculator&apos;!$B$70*12,D538&lt;=0),0,D538*C538/12)</f><v>0</v></c><c r="G538" s="72"><f>IF(OR(A538&gt;&apos;Property Calculator&apos;!$B$70*12,D538&lt;=0),0,MAX(0,MIN(D538,E538-F538)))</f><v>0</v></c><c r="H538" s="126"><v>0</v></c><c r="I538" s="72"><f>IF(A538&gt;&apos;Property Calculator&apos;!$B$70*12,0,MAX(0,D538-G538-J538))</f><v>0</v></c><c r="J538" s="72"><f>IF(OR(A538&gt;&apos;Property Calculator&apos;!$B$70*12,D538&lt;=0),0,MIN(H538,MAX(0,D538-G538)))</f><v>0</v></c></row><row r="539" spans="1:10" x14ac:dyDescent="0.25"><c r="A539"><v>536</v></c><c r="B539"><f t="shared" si="8"/>&lt;v&gt;45&lt;/v&gt;&lt;/c&gt;&lt;c r=&quot;C539&quot; s=&quot;37&quot;&gt;&lt;f&gt;IF(A539&gt;&apos;Property Calculator&apos;!$B$70*12,0,IF(AND(&apos;Property Calculator&apos;!$B$72=1,B539&gt;&apos;Property Calculator&apos;!$B$69),&apos;Property Calculator&apos;!$B$73,&apos;Property Calculator&apos;!$B$65))</f><v>0</v></c><c r="D539" s="72"><f>IF(A539&gt;&apos;Property Calculator&apos;!$B$70*12,0,I538)</f><v>0</v></c><c r="E539" s="72"><f>IF(OR(A539&gt;&apos;Property Calculator&apos;!$B$70*12,D539&lt;=0),0,IF(AND(&apos;Property Calculator&apos;!$B$72=1,B539&gt;&apos;Property Calculator&apos;!$B$69),MIN(D539*C539/12+&apos;Property Calculator&apos;!$B$74/12,D539*(1+C539/12)),MIN(&apos;Property Calculator&apos;!$B$67,D539*(1+C539/12))))</f><v>0</v></c><c r="F539" s="72"><f>IF(OR(A539&gt;&apos;Property Calculator&apos;!$B$70*12,D539&lt;=0),0,D539*C539/12)</f><v>0</v></c><c r="G539" s="72"><f>IF(OR(A539&gt;&apos;Property Calculator&apos;!$B$70*12,D539&lt;=0),0,MAX(0,MIN(D539,E539-F539)))</f><v>0</v></c><c r="H539" s="126"><v>0</v></c><c r="I539" s="72"><f>IF(A539&gt;&apos;Property Calculator&apos;!$B$70*12,0,MAX(0,D539-G539-J539))</f><v>0</v></c><c r="J539" s="72"><f>IF(OR(A539&gt;&apos;Property Calculator&apos;!$B$70*12,D539&lt;=0),0,MIN(H539,MAX(0,D539-G539)))</f><v>0</v></c></row><row r="540" spans="1:10" x14ac:dyDescent="0.25"><c r="A540"><v>537</v></c><c r="B540"><f t="shared" si="8"/>&lt;v&gt;45&lt;/v&gt;&lt;/c&gt;&lt;c r=&quot;C540&quot; s=&quot;37&quot;&gt;&lt;f&gt;IF(A540&gt;&apos;Property Calculator&apos;!$B$70*12,0,IF(AND(&apos;Property Calculator&apos;!$B$72=1,B540&gt;&apos;Property Calculator&apos;!$B$69),&apos;Property Calculator&apos;!$B$73,&apos;Property Calculator&apos;!$B$65))</f><v>0</v></c><c r="D540" s="72"><f>IF(A540&gt;&apos;Property Calculator&apos;!$B$70*12,0,I539)</f><v>0</v></c><c r="E540" s="72"><f>IF(OR(A540&gt;&apos;Property Calculator&apos;!$B$70*12,D540&lt;=0),0,IF(AND(&apos;Property Calculator&apos;!$B$72=1,B540&gt;&apos;Property Calculator&apos;!$B$69),MIN(D540*C540/12+&apos;Property Calculator&apos;!$B$74/12,D540*(1+C540/12)),MIN(&apos;Property Calculator&apos;!$B$67,D540*(1+C540/12))))</f><v>0</v></c><c r="F540" s="72"><f>IF(OR(A540&gt;&apos;Property Calculator&apos;!$B$70*12,D540&lt;=0),0,D540*C540/12)</f><v>0</v></c><c r="G540" s="72"><f>IF(OR(A540&gt;&apos;Property Calculator&apos;!$B$70*12,D540&lt;=0),0,MAX(0,MIN(D540,E540-F540)))</f><v>0</v></c><c r="H540" s="126"><v>0</v></c><c r="I540" s="72"><f>IF(A540&gt;&apos;Property Calculator&apos;!$B$70*12,0,MAX(0,D540-G540-J540))</f><v>0</v></c><c r="J540" s="72"><f>IF(OR(A540&gt;&apos;Property Calculator&apos;!$B$70*12,D540&lt;=0),0,MIN(H540,MAX(0,D540-G540)))</f><v>0</v></c></row><row r="541" spans="1:10" x14ac:dyDescent="0.25"><c r="A541"><v>538</v></c><c r="B541"><f t="shared" si="8"/>&lt;v&gt;45&lt;/v&gt;&lt;/c&gt;&lt;c r=&quot;C541&quot; s=&quot;37&quot;&gt;&lt;f&gt;IF(A541&gt;&apos;Property Calculator&apos;!$B$70*12,0,IF(AND(&apos;Property Calculator&apos;!$B$72=1,B541&gt;&apos;Property Calculator&apos;!$B$69),&apos;Property Calculator&apos;!$B$73,&apos;Property Calculator&apos;!$B$65))</f><v>0</v></c><c r="D541" s="72"><f>IF(A541&gt;&apos;Property Calculator&apos;!$B$70*12,0,I540)</f><v>0</v></c><c r="E541" s="72"><f>IF(OR(A541&gt;&apos;Property Calculator&apos;!$B$70*12,D541&lt;=0),0,IF(AND(&apos;Property Calculator&apos;!$B$72=1,B541&gt;&apos;Property Calculator&apos;!$B$69),MIN(D541*C541/12+&apos;Property Calculator&apos;!$B$74/12,D541*(1+C541/12)),MIN(&apos;Property Calculator&apos;!$B$67,D541*(1+C541/12))))</f><v>0</v></c><c r="F541" s="72"><f>IF(OR(A541&gt;&apos;Property Calculator&apos;!$B$70*12,D541&lt;=0),0,D541*C541/12)</f><v>0</v></c><c r="G541" s="72"><f>IF(OR(A541&gt;&apos;Property Calculator&apos;!$B$70*12,D541&lt;=0),0,MAX(0,MIN(D541,E541-F541)))</f><v>0</v></c><c r="H541" s="126"><v>0</v></c><c r="I541" s="72"><f>IF(A541&gt;&apos;Property Calculator&apos;!$B$70*12,0,MAX(0,D541-G541-J541))</f><v>0</v></c><c r="J541" s="72"><f>IF(OR(A541&gt;&apos;Property Calculator&apos;!$B$70*12,D541&lt;=0),0,MIN(H541,MAX(0,D541-G541)))</f><v>0</v></c></row><row r="542" spans="1:10" x14ac:dyDescent="0.25"><c r="A542"><v>539</v></c><c r="B542"><f t="shared" si="8"/>&lt;v&gt;45&lt;/v&gt;&lt;/c&gt;&lt;c r=&quot;C542&quot; s=&quot;37&quot;&gt;&lt;f&gt;IF(A542&gt;&apos;Property Calculator&apos;!$B$70*12,0,IF(AND(&apos;Property Calculator&apos;!$B$72=1,B542&gt;&apos;Property Calculator&apos;!$B$69),&apos;Property Calculator&apos;!$B$73,&apos;Property Calculator&apos;!$B$65))</f><v>0</v></c><c r="D542" s="72"><f>IF(A542&gt;&apos;Property Calculator&apos;!$B$70*12,0,I541)</f><v>0</v></c><c r="E542" s="72"><f>IF(OR(A542&gt;&apos;Property Calculator&apos;!$B$70*12,D542&lt;=0),0,IF(AND(&apos;Property Calculator&apos;!$B$72=1,B542&gt;&apos;Property Calculator&apos;!$B$69),MIN(D542*C542/12+&apos;Property Calculator&apos;!$B$74/12,D542*(1+C542/12)),MIN(&apos;Property Calculator&apos;!$B$67,D542*(1+C542/12))))</f><v>0</v></c><c r="F542" s="72"><f>IF(OR(A542&gt;&apos;Property Calculator&apos;!$B$70*12,D542&lt;=0),0,D542*C542/12)</f><v>0</v></c><c r="G542" s="72"><f>IF(OR(A542&gt;&apos;Property Calculator&apos;!$B$70*12,D542&lt;=0),0,MAX(0,MIN(D542,E542-F542)))</f><v>0</v></c><c r="H542" s="126"><v>0</v></c><c r="I542" s="72"><f>IF(A542&gt;&apos;Property Calculator&apos;!$B$70*12,0,MAX(0,D542-G542-J542))</f><v>0</v></c><c r="J542" s="72"><f>IF(OR(A542&gt;&apos;Property Calculator&apos;!$B$70*12,D542&lt;=0),0,MIN(H542,MAX(0,D542-G542)))</f><v>0</v></c></row><row r="543" spans="1:10" x14ac:dyDescent="0.25"><c r="A543"><v>540</v></c><c r="B543"><f t="shared" si="8"/>&lt;v&gt;45&lt;/v&gt;&lt;/c&gt;&lt;c r=&quot;C543&quot; s=&quot;37&quot;&gt;&lt;f&gt;IF(A543&gt;&apos;Property Calculator&apos;!$B$70*12,0,IF(AND(&apos;Property Calculator&apos;!$B$72=1,B543&gt;&apos;Property Calculator&apos;!$B$69),&apos;Property Calculator&apos;!$B$73,&apos;Property Calculator&apos;!$B$65))</f><v>0</v></c><c r="D543" s="72"><f>IF(A543&gt;&apos;Property Calculator&apos;!$B$70*12,0,I542)</f><v>0</v></c><c r="E543" s="72"><f>IF(OR(A543&gt;&apos;Property Calculator&apos;!$B$70*12,D543&lt;=0),0,IF(AND(&apos;Property Calculator&apos;!$B$72=1,B543&gt;&apos;Property Calculator&apos;!$B$69),MIN(D543*C543/12+&apos;Property Calculator&apos;!$B$74/12,D543*(1+C543/12)),MIN(&apos;Property Calculator&apos;!$B$67,D543*(1+C543/12))))</f><v>0</v></c><c r="F543" s="72"><f>IF(OR(A543&gt;&apos;Property Calculator&apos;!$B$70*12,D543&lt;=0),0,D543*C543/12)</f><v>0</v></c><c r="G543" s="72"><f>IF(OR(A543&gt;&apos;Property Calculator&apos;!$B$70*12,D543&lt;=0),0,MAX(0,MIN(D543,E543-F543)))</f><v>0</v></c><c r="H543" s="126"><v>0</v></c><c r="I543" s="72"><f>IF(A543&gt;&apos;Property Calculator&apos;!$B$70*12,0,MAX(0,D543-G543-J543))</f><v>0</v></c><c r="J543" s="72"><f>IF(OR(A543&gt;&apos;Property Calculator&apos;!$B$70*12,D543&lt;=0),0,MIN(H543,MAX(0,D543-G543)))</f><v>0</v></c></row><row r="544" spans="1:10" x14ac:dyDescent="0.25"><c r="A544"><v>541</v></c><c r="B544"><f t="shared" si="8"/>&lt;v&gt;46&lt;/v&gt;&lt;/c&gt;&lt;c r=&quot;C544&quot; s=&quot;37&quot;&gt;&lt;f&gt;IF(A544&gt;&apos;Property Calculator&apos;!$B$70*12,0,IF(AND(&apos;Property Calculator&apos;!$B$72=1,B544&gt;&apos;Property Calculator&apos;!$B$69),&apos;Property Calculator&apos;!$B$73,&apos;Property Calculator&apos;!$B$65))</f><v>0</v></c><c r="D544" s="72"><f>IF(A544&gt;&apos;Property Calculator&apos;!$B$70*12,0,I543)</f><v>0</v></c><c r="E544" s="72"><f>IF(OR(A544&gt;&apos;Property Calculator&apos;!$B$70*12,D544&lt;=0),0,IF(AND(&apos;Property Calculator&apos;!$B$72=1,B544&gt;&apos;Property Calculator&apos;!$B$69),MIN(D544*C544/12+&apos;Property Calculator&apos;!$B$74/12,D544*(1+C544/12)),MIN(&apos;Property Calculator&apos;!$B$67,D544*(1+C544/12))))</f><v>0</v></c><c r="F544" s="72"><f>IF(OR(A544&gt;&apos;Property Calculator&apos;!$B$70*12,D544&lt;=0),0,D544*C544/12)</f><v>0</v></c><c r="G544" s="72"><f>IF(OR(A544&gt;&apos;Property Calculator&apos;!$B$70*12,D544&lt;=0),0,MAX(0,MIN(D544,E544-F544)))</f><v>0</v></c><c r="H544" s="126"><v>0</v></c><c r="I544" s="72"><f>IF(A544&gt;&apos;Property Calculator&apos;!$B$70*12,0,MAX(0,D544-G544-J544))</f><v>0</v></c><c r="J544" s="72"><f>IF(OR(A544&gt;&apos;Property Calculator&apos;!$B$70*12,D544&lt;=0),0,MIN(H544,MAX(0,D544-G544)))</f><v>0</v></c></row><row r="545" spans="1:10" x14ac:dyDescent="0.25"><c r="A545"><v>542</v></c><c r="B545"><f t="shared" si="8"/>&lt;v&gt;46&lt;/v&gt;&lt;/c&gt;&lt;c r=&quot;C545&quot; s=&quot;37&quot;&gt;&lt;f&gt;IF(A545&gt;&apos;Property Calculator&apos;!$B$70*12,0,IF(AND(&apos;Property Calculator&apos;!$B$72=1,B545&gt;&apos;Property Calculator&apos;!$B$69),&apos;Property Calculator&apos;!$B$73,&apos;Property Calculator&apos;!$B$65))</f><v>0</v></c><c r="D545" s="72"><f>IF(A545&gt;&apos;Property Calculator&apos;!$B$70*12,0,I544)</f><v>0</v></c><c r="E545" s="72"><f>IF(OR(A545&gt;&apos;Property Calculator&apos;!$B$70*12,D545&lt;=0),0,IF(AND(&apos;Property Calculator&apos;!$B$72=1,B545&gt;&apos;Property Calculator&apos;!$B$69),MIN(D545*C545/12+&apos;Property Calculator&apos;!$B$74/12,D545*(1+C545/12)),MIN(&apos;Property Calculator&apos;!$B$67,D545*(1+C545/12))))</f><v>0</v></c><c r="F545" s="72"><f>IF(OR(A545&gt;&apos;Property Calculator&apos;!$B$70*12,D545&lt;=0),0,D545*C545/12)</f><v>0</v></c><c r="G545" s="72"><f>IF(OR(A545&gt;&apos;Property Calculator&apos;!$B$70*12,D545&lt;=0),0,MAX(0,MIN(D545,E545-F545)))</f><v>0</v></c><c r="H545" s="126"><v>0</v></c><c r="I545" s="72"><f>IF(A545&gt;&apos;Property Calculator&apos;!$B$70*12,0,MAX(0,D545-G545-J545))</f><v>0</v></c><c r="J545" s="72"><f>IF(OR(A545&gt;&apos;Property Calculator&apos;!$B$70*12,D545&lt;=0),0,MIN(H545,MAX(0,D545-G545)))</f><v>0</v></c></row><row r="546" spans="1:10" x14ac:dyDescent="0.25"><c r="A546"><v>543</v></c><c r="B546"><f t="shared" si="8"/>&lt;v&gt;46&lt;/v&gt;&lt;/c&gt;&lt;c r=&quot;C546&quot; s=&quot;37&quot;&gt;&lt;f&gt;IF(A546&gt;&apos;Property Calculator&apos;!$B$70*12,0,IF(AND(&apos;Property Calculator&apos;!$B$72=1,B546&gt;&apos;Property Calculator&apos;!$B$69),&apos;Property Calculator&apos;!$B$73,&apos;Property Calculator&apos;!$B$65))</f><v>0</v></c><c r="D546" s="72"><f>IF(A546&gt;&apos;Property Calculator&apos;!$B$70*12,0,I545)</f><v>0</v></c><c r="E546" s="72"><f>IF(OR(A546&gt;&apos;Property Calculator&apos;!$B$70*12,D546&lt;=0),0,IF(AND(&apos;Property Calculator&apos;!$B$72=1,B546&gt;&apos;Property Calculator&apos;!$B$69),MIN(D546*C546/12+&apos;Property Calculator&apos;!$B$74/12,D546*(1+C546/12)),MIN(&apos;Property Calculator&apos;!$B$67,D546*(1+C546/12))))</f><v>0</v></c><c r="F546" s="72"><f>IF(OR(A546&gt;&apos;Property Calculator&apos;!$B$70*12,D546&lt;=0),0,D546*C546/12)</f><v>0</v></c><c r="G546" s="72"><f>IF(OR(A546&gt;&apos;Property Calculator&apos;!$B$70*12,D546&lt;=0),0,MAX(0,MIN(D546,E546-F546)))</f><v>0</v></c><c r="H546" s="126"><v>0</v></c><c r="I546" s="72"><f>IF(A546&gt;&apos;Property Calculator&apos;!$B$70*12,0,MAX(0,D546-G546-J546))</f><v>0</v></c><c r="J546" s="72"><f>IF(OR(A546&gt;&apos;Property Calculator&apos;!$B$70*12,D546&lt;=0),0,MIN(H546,MAX(0,D546-G546)))</f><v>0</v></c></row><row r="547" spans="1:10" x14ac:dyDescent="0.25"><c r="A547"><v>544</v></c><c r="B547"><f t="shared" si="8"/>&lt;v&gt;46&lt;/v&gt;&lt;/c&gt;&lt;c r=&quot;C547&quot; s=&quot;37&quot;&gt;&lt;f&gt;IF(A547&gt;&apos;Property Calculator&apos;!$B$70*12,0,IF(AND(&apos;Property Calculator&apos;!$B$72=1,B547&gt;&apos;Property Calculator&apos;!$B$69),&apos;Property Calculator&apos;!$B$73,&apos;Property Calculator&apos;!$B$65))</f><v>0</v></c><c r="D547" s="72"><f>IF(A547&gt;&apos;Property Calculator&apos;!$B$70*12,0,I546)</f><v>0</v></c><c r="E547" s="72"><f>IF(OR(A547&gt;&apos;Property Calculator&apos;!$B$70*12,D547&lt;=0),0,IF(AND(&apos;Property Calculator&apos;!$B$72=1,B547&gt;&apos;Property Calculator&apos;!$B$69),MIN(D547*C547/12+&apos;Property Calculator&apos;!$B$74/12,D547*(1+C547/12)),MIN(&apos;Property Calculator&apos;!$B$67,D547*(1+C547/12))))</f><v>0</v></c><c r="F547" s="72"><f>IF(OR(A547&gt;&apos;Property Calculator&apos;!$B$70*12,D547&lt;=0),0,D547*C547/12)</f><v>0</v></c><c r="G547" s="72"><f>IF(OR(A547&gt;&apos;Property Calculator&apos;!$B$70*12,D547&lt;=0),0,MAX(0,MIN(D547,E547-F547)))</f><v>0</v></c><c r="H547" s="126"><v>0</v></c><c r="I547" s="72"><f>IF(A547&gt;&apos;Property Calculator&apos;!$B$70*12,0,MAX(0,D547-G547-J547))</f><v>0</v></c><c r="J547" s="72"><f>IF(OR(A547&gt;&apos;Property Calculator&apos;!$B$70*12,D547&lt;=0),0,MIN(H547,MAX(0,D547-G547)))</f><v>0</v></c></row><row r="548" spans="1:10" x14ac:dyDescent="0.25"><c r="A548"><v>545</v></c><c r="B548"><f t="shared" si="8"/>&lt;v&gt;46&lt;/v&gt;&lt;/c&gt;&lt;c r=&quot;C548&quot; s=&quot;37&quot;&gt;&lt;f&gt;IF(A548&gt;&apos;Property Calculator&apos;!$B$70*12,0,IF(AND(&apos;Property Calculator&apos;!$B$72=1,B548&gt;&apos;Property Calculator&apos;!$B$69),&apos;Property Calculator&apos;!$B$73,&apos;Property Calculator&apos;!$B$65))</f><v>0</v></c><c r="D548" s="72"><f>IF(A548&gt;&apos;Property Calculator&apos;!$B$70*12,0,I547)</f><v>0</v></c><c r="E548" s="72"><f>IF(OR(A548&gt;&apos;Property Calculator&apos;!$B$70*12,D548&lt;=0),0,IF(AND(&apos;Property Calculator&apos;!$B$72=1,B548&gt;&apos;Property Calculator&apos;!$B$69),MIN(D548*C548/12+&apos;Property Calculator&apos;!$B$74/12,D548*(1+C548/12)),MIN(&apos;Property Calculator&apos;!$B$67,D548*(1+C548/12))))</f><v>0</v></c><c r="F548" s="72"><f>IF(OR(A548&gt;&apos;Property Calculator&apos;!$B$70*12,D548&lt;=0),0,D548*C548/12)</f><v>0</v></c><c r="G548" s="72"><f>IF(OR(A548&gt;&apos;Property Calculator&apos;!$B$70*12,D548&lt;=0),0,MAX(0,MIN(D548,E548-F548)))</f><v>0</v></c><c r="H548" s="126"><v>0</v></c><c r="I548" s="72"><f>IF(A548&gt;&apos;Property Calculator&apos;!$B$70*12,0,MAX(0,D548-G548-J548))</f><v>0</v></c><c r="J548" s="72"><f>IF(OR(A548&gt;&apos;Property Calculator&apos;!$B$70*12,D548&lt;=0),0,MIN(H548,MAX(0,D548-G548)))</f><v>0</v></c></row><row r="549" spans="1:10" x14ac:dyDescent="0.25"><c r="A549"><v>546</v></c><c r="B549"><f t="shared" si="8"/>&lt;v&gt;46&lt;/v&gt;&lt;/c&gt;&lt;c r=&quot;C549&quot; s=&quot;37&quot;&gt;&lt;f&gt;IF(A549&gt;&apos;Property Calculator&apos;!$B$70*12,0,IF(AND(&apos;Property Calculator&apos;!$B$72=1,B549&gt;&apos;Property Calculator&apos;!$B$69),&apos;Property Calculator&apos;!$B$73,&apos;Property Calculator&apos;!$B$65))</f><v>0</v></c><c r="D549" s="72"><f>IF(A549&gt;&apos;Property Calculator&apos;!$B$70*12,0,I548)</f><v>0</v></c><c r="E549" s="72"><f>IF(OR(A549&gt;&apos;Property Calculator&apos;!$B$70*12,D549&lt;=0),0,IF(AND(&apos;Property Calculator&apos;!$B$72=1,B549&gt;&apos;Property Calculator&apos;!$B$69),MIN(D549*C549/12+&apos;Property Calculator&apos;!$B$74/12,D549*(1+C549/12)),MIN(&apos;Property Calculator&apos;!$B$67,D549*(1+C549/12))))</f><v>0</v></c><c r="F549" s="72"><f>IF(OR(A549&gt;&apos;Property Calculator&apos;!$B$70*12,D549&lt;=0),0,D549*C549/12)</f><v>0</v></c><c r="G549" s="72"><f>IF(OR(A549&gt;&apos;Property Calculator&apos;!$B$70*12,D549&lt;=0),0,MAX(0,MIN(D549,E549-F549)))</f><v>0</v></c><c r="H549" s="126"><v>0</v></c><c r="I549" s="72"><f>IF(A549&gt;&apos;Property Calculator&apos;!$B$70*12,0,MAX(0,D549-G549-J549))</f><v>0</v></c><c r="J549" s="72"><f>IF(OR(A549&gt;&apos;Property Calculator&apos;!$B$70*12,D549&lt;=0),0,MIN(H549,MAX(0,D549-G549)))</f><v>0</v></c></row><row r="550" spans="1:10" x14ac:dyDescent="0.25"><c r="A550"><v>547</v></c><c r="B550"><f t="shared" si="8"/>&lt;v&gt;46&lt;/v&gt;&lt;/c&gt;&lt;c r=&quot;C550&quot; s=&quot;37&quot;&gt;&lt;f&gt;IF(A550&gt;&apos;Property Calculator&apos;!$B$70*12,0,IF(AND(&apos;Property Calculator&apos;!$B$72=1,B550&gt;&apos;Property Calculator&apos;!$B$69),&apos;Property Calculator&apos;!$B$73,&apos;Property Calculator&apos;!$B$65))</f><v>0</v></c><c r="D550" s="72"><f>IF(A550&gt;&apos;Property Calculator&apos;!$B$70*12,0,I549)</f><v>0</v></c><c r="E550" s="72"><f>IF(OR(A550&gt;&apos;Property Calculator&apos;!$B$70*12,D550&lt;=0),0,IF(AND(&apos;Property Calculator&apos;!$B$72=1,B550&gt;&apos;Property Calculator&apos;!$B$69),MIN(D550*C550/12+&apos;Property Calculator&apos;!$B$74/12,D550*(1+C550/12)),MIN(&apos;Property Calculator&apos;!$B$67,D550*(1+C550/12))))</f><v>0</v></c><c r="F550" s="72"><f>IF(OR(A550&gt;&apos;Property Calculator&apos;!$B$70*12,D550&lt;=0),0,D550*C550/12)</f><v>0</v></c><c r="G550" s="72"><f>IF(OR(A550&gt;&apos;Property Calculator&apos;!$B$70*12,D550&lt;=0),0,MAX(0,MIN(D550,E550-F550)))</f><v>0</v></c><c r="H550" s="126"><v>0</v></c><c r="I550" s="72"><f>IF(A550&gt;&apos;Property Calculator&apos;!$B$70*12,0,MAX(0,D550-G550-J550))</f><v>0</v></c><c r="J550" s="72"><f>IF(OR(A550&gt;&apos;Property Calculator&apos;!$B$70*12,D550&lt;=0),0,MIN(H550,MAX(0,D550-G550)))</f><v>0</v></c></row><row r="551" spans="1:10" x14ac:dyDescent="0.25"><c r="A551"><v>548</v></c><c r="B551"><f t="shared" si="8"/>&lt;v&gt;46&lt;/v&gt;&lt;/c&gt;&lt;c r=&quot;C551&quot; s=&quot;37&quot;&gt;&lt;f&gt;IF(A551&gt;&apos;Property Calculator&apos;!$B$70*12,0,IF(AND(&apos;Property Calculator&apos;!$B$72=1,B551&gt;&apos;Property Calculator&apos;!$B$69),&apos;Property Calculator&apos;!$B$73,&apos;Property Calculator&apos;!$B$65))</f><v>0</v></c><c r="D551" s="72"><f>IF(A551&gt;&apos;Property Calculator&apos;!$B$70*12,0,I550)</f><v>0</v></c><c r="E551" s="72"><f>IF(OR(A551&gt;&apos;Property Calculator&apos;!$B$70*12,D551&lt;=0),0,IF(AND(&apos;Property Calculator&apos;!$B$72=1,B551&gt;&apos;Property Calculator&apos;!$B$69),MIN(D551*C551/12+&apos;Property Calculator&apos;!$B$74/12,D551*(1+C551/12)),MIN(&apos;Property Calculator&apos;!$B$67,D551*(1+C551/12))))</f><v>0</v></c><c r="F551" s="72"><f>IF(OR(A551&gt;&apos;Property Calculator&apos;!$B$70*12,D551&lt;=0),0,D551*C551/12)</f><v>0</v></c><c r="G551" s="72"><f>IF(OR(A551&gt;&apos;Property Calculator&apos;!$B$70*12,D551&lt;=0),0,MAX(0,MIN(D551,E551-F551)))</f><v>0</v></c><c r="H551" s="126"><v>0</v></c><c r="I551" s="72"><f>IF(A551&gt;&apos;Property Calculator&apos;!$B$70*12,0,MAX(0,D551-G551-J551))</f><v>0</v></c><c r="J551" s="72"><f>IF(OR(A551&gt;&apos;Property Calculator&apos;!$B$70*12,D551&lt;=0),0,MIN(H551,MAX(0,D551-G551)))</f><v>0</v></c></row><row r="552" spans="1:10" x14ac:dyDescent="0.25"><c r="A552"><v>549</v></c><c r="B552"><f t="shared" si="8"/>&lt;v&gt;46&lt;/v&gt;&lt;/c&gt;&lt;c r=&quot;C552&quot; s=&quot;37&quot;&gt;&lt;f&gt;IF(A552&gt;&apos;Property Calculator&apos;!$B$70*12,0,IF(AND(&apos;Property Calculator&apos;!$B$72=1,B552&gt;&apos;Property Calculator&apos;!$B$69),&apos;Property Calculator&apos;!$B$73,&apos;Property Calculator&apos;!$B$65))</f><v>0</v></c><c r="D552" s="72"><f>IF(A552&gt;&apos;Property Calculator&apos;!$B$70*12,0,I551)</f><v>0</v></c><c r="E552" s="72"><f>IF(OR(A552&gt;&apos;Property Calculator&apos;!$B$70*12,D552&lt;=0),0,IF(AND(&apos;Property Calculator&apos;!$B$72=1,B552&gt;&apos;Property Calculator&apos;!$B$69),MIN(D552*C552/12+&apos;Property Calculator&apos;!$B$74/12,D552*(1+C552/12)),MIN(&apos;Property Calculator&apos;!$B$67,D552*(1+C552/12))))</f><v>0</v></c><c r="F552" s="72"><f>IF(OR(A552&gt;&apos;Property Calculator&apos;!$B$70*12,D552&lt;=0),0,D552*C552/12)</f><v>0</v></c><c r="G552" s="72"><f>IF(OR(A552&gt;&apos;Property Calculator&apos;!$B$70*12,D552&lt;=0),0,MAX(0,MIN(D552,E552-F552)))</f><v>0</v></c><c r="H552" s="126"><v>0</v></c><c r="I552" s="72"><f>IF(A552&gt;&apos;Property Calculator&apos;!$B$70*12,0,MAX(0,D552-G552-J552))</f><v>0</v></c><c r="J552" s="72"><f>IF(OR(A552&gt;&apos;Property Calculator&apos;!$B$70*12,D552&lt;=0),0,MIN(H552,MAX(0,D552-G552)))</f><v>0</v></c></row><row r="553" spans="1:10" x14ac:dyDescent="0.25"><c r="A553"><v>550</v></c><c r="B553"><f t="shared" si="8"/>&lt;v&gt;46&lt;/v&gt;&lt;/c&gt;&lt;c r=&quot;C553&quot; s=&quot;37&quot;&gt;&lt;f&gt;IF(A553&gt;&apos;Property Calculator&apos;!$B$70*12,0,IF(AND(&apos;Property Calculator&apos;!$B$72=1,B553&gt;&apos;Property Calculator&apos;!$B$69),&apos;Property Calculator&apos;!$B$73,&apos;Property Calculator&apos;!$B$65))</f><v>0</v></c><c r="D553" s="72"><f>IF(A553&gt;&apos;Property Calculator&apos;!$B$70*12,0,I552)</f><v>0</v></c><c r="E553" s="72"><f>IF(OR(A553&gt;&apos;Property Calculator&apos;!$B$70*12,D553&lt;=0),0,IF(AND(&apos;Property Calculator&apos;!$B$72=1,B553&gt;&apos;Property Calculator&apos;!$B$69),MIN(D553*C553/12+&apos;Property Calculator&apos;!$B$74/12,D553*(1+C553/12)),MIN(&apos;Property Calculator&apos;!$B$67,D553*(1+C553/12))))</f><v>0</v></c><c r="F553" s="72"><f>IF(OR(A553&gt;&apos;Property Calculator&apos;!$B$70*12,D553&lt;=0),0,D553*C553/12)</f><v>0</v></c><c r="G553" s="72"><f>IF(OR(A553&gt;&apos;Property Calculator&apos;!$B$70*12,D553&lt;=0),0,MAX(0,MIN(D553,E553-F553)))</f><v>0</v></c><c r="H553" s="126"><v>0</v></c><c r="I553" s="72"><f>IF(A553&gt;&apos;Property Calculator&apos;!$B$70*12,0,MAX(0,D553-G553-J553))</f><v>0</v></c><c r="J553" s="72"><f>IF(OR(A553&gt;&apos;Property Calculator&apos;!$B$70*12,D553&lt;=0),0,MIN(H553,MAX(0,D553-G553)))</f><v>0</v></c></row><row r="554" spans="1:10" x14ac:dyDescent="0.25"><c r="A554"><v>551</v></c><c r="B554"><f t="shared" si="8"/>&lt;v&gt;46&lt;/v&gt;&lt;/c&gt;&lt;c r=&quot;C554&quot; s=&quot;37&quot;&gt;&lt;f&gt;IF(A554&gt;&apos;Property Calculator&apos;!$B$70*12,0,IF(AND(&apos;Property Calculator&apos;!$B$72=1,B554&gt;&apos;Property Calculator&apos;!$B$69),&apos;Property Calculator&apos;!$B$73,&apos;Property Calculator&apos;!$B$65))</f><v>0</v></c><c r="D554" s="72"><f>IF(A554&gt;&apos;Property Calculator&apos;!$B$70*12,0,I553)</f><v>0</v></c><c r="E554" s="72"><f>IF(OR(A554&gt;&apos;Property Calculator&apos;!$B$70*12,D554&lt;=0),0,IF(AND(&apos;Property Calculator&apos;!$B$72=1,B554&gt;&apos;Property Calculator&apos;!$B$69),MIN(D554*C554/12+&apos;Property Calculator&apos;!$B$74/12,D554*(1+C554/12)),MIN(&apos;Property Calculator&apos;!$B$67,D554*(1+C554/12))))</f><v>0</v></c><c r="F554" s="72"><f>IF(OR(A554&gt;&apos;Property Calculator&apos;!$B$70*12,D554&lt;=0),0,D554*C554/12)</f><v>0</v></c><c r="G554" s="72"><f>IF(OR(A554&gt;&apos;Property Calculator&apos;!$B$70*12,D554&lt;=0),0,MAX(0,MIN(D554,E554-F554)))</f><v>0</v></c><c r="H554" s="126"><v>0</v></c><c r="I554" s="72"><f>IF(A554&gt;&apos;Property Calculator&apos;!$B$70*12,0,MAX(0,D554-G554-J554))</f><v>0</v></c><c r="J554" s="72"><f>IF(OR(A554&gt;&apos;Property Calculator&apos;!$B$70*12,D554&lt;=0),0,MIN(H554,MAX(0,D554-G554)))</f><v>0</v></c></row><row r="555" spans="1:10" x14ac:dyDescent="0.25"><c r="A555"><v>552</v></c><c r="B555"><f t="shared" si="8"/>&lt;v&gt;46&lt;/v&gt;&lt;/c&gt;&lt;c r=&quot;C555&quot; s=&quot;37&quot;&gt;&lt;f&gt;IF(A555&gt;&apos;Property Calculator&apos;!$B$70*12,0,IF(AND(&apos;Property Calculator&apos;!$B$72=1,B555&gt;&apos;Property Calculator&apos;!$B$69),&apos;Property Calculator&apos;!$B$73,&apos;Property Calculator&apos;!$B$65))</f><v>0</v></c><c r="D555" s="72"><f>IF(A555&gt;&apos;Property Calculator&apos;!$B$70*12,0,I554)</f><v>0</v></c><c r="E555" s="72"><f>IF(OR(A555&gt;&apos;Property Calculator&apos;!$B$70*12,D555&lt;=0),0,IF(AND(&apos;Property Calculator&apos;!$B$72=1,B555&gt;&apos;Property Calculator&apos;!$B$69),MIN(D555*C555/12+&apos;Property Calculator&apos;!$B$74/12,D555*(1+C555/12)),MIN(&apos;Property Calculator&apos;!$B$67,D555*(1+C555/12))))</f><v>0</v></c><c r="F555" s="72"><f>IF(OR(A555&gt;&apos;Property Calculator&apos;!$B$70*12,D555&lt;=0),0,D555*C555/12)</f><v>0</v></c><c r="G555" s="72"><f>IF(OR(A555&gt;&apos;Property Calculator&apos;!$B$70*12,D555&lt;=0),0,MAX(0,MIN(D555,E555-F555)))</f><v>0</v></c><c r="H555" s="126"><v>0</v></c><c r="I555" s="72"><f>IF(A555&gt;&apos;Property Calculator&apos;!$B$70*12,0,MAX(0,D555-G555-J555))</f><v>0</v></c><c r="J555" s="72"><f>IF(OR(A555&gt;&apos;Property Calculator&apos;!$B$70*12,D555&lt;=0),0,MIN(H555,MAX(0,D555-G555)))</f><v>0</v></c></row><row r="556" spans="1:10" x14ac:dyDescent="0.25"><c r="A556"><v>553</v></c><c r="B556"><f t="shared" si="8"/>&lt;v&gt;47&lt;/v&gt;&lt;/c&gt;&lt;c r=&quot;C556&quot; s=&quot;37&quot;&gt;&lt;f&gt;IF(A556&gt;&apos;Property Calculator&apos;!$B$70*12,0,IF(AND(&apos;Property Calculator&apos;!$B$72=1,B556&gt;&apos;Property Calculator&apos;!$B$69),&apos;Property Calculator&apos;!$B$73,&apos;Property Calculator&apos;!$B$65))</f><v>0</v></c><c r="D556" s="72"><f>IF(A556&gt;&apos;Property Calculator&apos;!$B$70*12,0,I555)</f><v>0</v></c><c r="E556" s="72"><f>IF(OR(A556&gt;&apos;Property Calculator&apos;!$B$70*12,D556&lt;=0),0,IF(AND(&apos;Property Calculator&apos;!$B$72=1,B556&gt;&apos;Property Calculator&apos;!$B$69),MIN(D556*C556/12+&apos;Property Calculator&apos;!$B$74/12,D556*(1+C556/12)),MIN(&apos;Property Calculator&apos;!$B$67,D556*(1+C556/12))))</f><v>0</v></c><c r="F556" s="72"><f>IF(OR(A556&gt;&apos;Property Calculator&apos;!$B$70*12,D556&lt;=0),0,D556*C556/12)</f><v>0</v></c><c r="G556" s="72"><f>IF(OR(A556&gt;&apos;Property Calculator&apos;!$B$70*12,D556&lt;=0),0,MAX(0,MIN(D556,E556-F556)))</f><v>0</v></c><c r="H556" s="126"><v>0</v></c><c r="I556" s="72"><f>IF(A556&gt;&apos;Property Calculator&apos;!$B$70*12,0,MAX(0,D556-G556-J556))</f><v>0</v></c><c r="J556" s="72"><f>IF(OR(A556&gt;&apos;Property Calculator&apos;!$B$70*12,D556&lt;=0),0,MIN(H556,MAX(0,D556-G556)))</f><v>0</v></c></row><row r="557" spans="1:10" x14ac:dyDescent="0.25"><c r="A557"><v>554</v></c><c r="B557"><f t="shared" si="8"/>&lt;v&gt;47&lt;/v&gt;&lt;/c&gt;&lt;c r=&quot;C557&quot; s=&quot;37&quot;&gt;&lt;f&gt;IF(A557&gt;&apos;Property Calculator&apos;!$B$70*12,0,IF(AND(&apos;Property Calculator&apos;!$B$72=1,B557&gt;&apos;Property Calculator&apos;!$B$69),&apos;Property Calculator&apos;!$B$73,&apos;Property Calculator&apos;!$B$65))</f><v>0</v></c><c r="D557" s="72"><f>IF(A557&gt;&apos;Property Calculator&apos;!$B$70*12,0,I556)</f><v>0</v></c><c r="E557" s="72"><f>IF(OR(A557&gt;&apos;Property Calculator&apos;!$B$70*12,D557&lt;=0),0,IF(AND(&apos;Property Calculator&apos;!$B$72=1,B557&gt;&apos;Property Calculator&apos;!$B$69),MIN(D557*C557/12+&apos;Property Calculator&apos;!$B$74/12,D557*(1+C557/12)),MIN(&apos;Property Calculator&apos;!$B$67,D557*(1+C557/12))))</f><v>0</v></c><c r="F557" s="72"><f>IF(OR(A557&gt;&apos;Property Calculator&apos;!$B$70*12,D557&lt;=0),0,D557*C557/12)</f><v>0</v></c><c r="G557" s="72"><f>IF(OR(A557&gt;&apos;Property Calculator&apos;!$B$70*12,D557&lt;=0),0,MAX(0,MIN(D557,E557-F557)))</f><v>0</v></c><c r="H557" s="126"><v>0</v></c><c r="I557" s="72"><f>IF(A557&gt;&apos;Property Calculator&apos;!$B$70*12,0,MAX(0,D557-G557-J557))</f><v>0</v></c><c r="J557" s="72"><f>IF(OR(A557&gt;&apos;Property Calculator&apos;!$B$70*12,D557&lt;=0),0,MIN(H557,MAX(0,D557-G557)))</f><v>0</v></c></row><row r="558" spans="1:10" x14ac:dyDescent="0.25"><c r="A558"><v>555</v></c><c r="B558"><f t="shared" si="8"/>&lt;v&gt;47&lt;/v&gt;&lt;/c&gt;&lt;c r=&quot;C558&quot; s=&quot;37&quot;&gt;&lt;f&gt;IF(A558&gt;&apos;Property Calculator&apos;!$B$70*12,0,IF(AND(&apos;Property Calculator&apos;!$B$72=1,B558&gt;&apos;Property Calculator&apos;!$B$69),&apos;Property Calculator&apos;!$B$73,&apos;Property Calculator&apos;!$B$65))</f><v>0</v></c><c r="D558" s="72"><f>IF(A558&gt;&apos;Property Calculator&apos;!$B$70*12,0,I557)</f><v>0</v></c><c r="E558" s="72"><f>IF(OR(A558&gt;&apos;Property Calculator&apos;!$B$70*12,D558&lt;=0),0,IF(AND(&apos;Property Calculator&apos;!$B$72=1,B558&gt;&apos;Property Calculator&apos;!$B$69),MIN(D558*C558/12+&apos;Property Calculator&apos;!$B$74/12,D558*(1+C558/12)),MIN(&apos;Property Calculator&apos;!$B$67,D558*(1+C558/12))))</f><v>0</v></c><c r="F558" s="72"><f>IF(OR(A558&gt;&apos;Property Calculator&apos;!$B$70*12,D558&lt;=0),0,D558*C558/12)</f><v>0</v></c><c r="G558" s="72"><f>IF(OR(A558&gt;&apos;Property Calculator&apos;!$B$70*12,D558&lt;=0),0,MAX(0,MIN(D558,E558-F558)))</f><v>0</v></c><c r="H558" s="126"><v>0</v></c><c r="I558" s="72"><f>IF(A558&gt;&apos;Property Calculator&apos;!$B$70*12,0,MAX(0,D558-G558-J558))</f><v>0</v></c><c r="J558" s="72"><f>IF(OR(A558&gt;&apos;Property Calculator&apos;!$B$70*12,D558&lt;=0),0,MIN(H558,MAX(0,D558-G558)))</f><v>0</v></c></row><row r="559" spans="1:10" x14ac:dyDescent="0.25"><c r="A559"><v>556</v></c><c r="B559"><f t="shared" si="8"/>&lt;v&gt;47&lt;/v&gt;&lt;/c&gt;&lt;c r=&quot;C559&quot; s=&quot;37&quot;&gt;&lt;f&gt;IF(A559&gt;&apos;Property Calculator&apos;!$B$70*12,0,IF(AND(&apos;Property Calculator&apos;!$B$72=1,B559&gt;&apos;Property Calculator&apos;!$B$69),&apos;Property Calculator&apos;!$B$73,&apos;Property Calculator&apos;!$B$65))</f><v>0</v></c><c r="D559" s="72"><f>IF(A559&gt;&apos;Property Calculator&apos;!$B$70*12,0,I558)</f><v>0</v></c><c r="E559" s="72"><f>IF(OR(A559&gt;&apos;Property Calculator&apos;!$B$70*12,D559&lt;=0),0,IF(AND(&apos;Property Calculator&apos;!$B$72=1,B559&gt;&apos;Property Calculator&apos;!$B$69),MIN(D559*C559/12+&apos;Property Calculator&apos;!$B$74/12,D559*(1+C559/12)),MIN(&apos;Property Calculator&apos;!$B$67,D559*(1+C559/12))))</f><v>0</v></c><c r="F559" s="72"><f>IF(OR(A559&gt;&apos;Property Calculator&apos;!$B$70*12,D559&lt;=0),0,D559*C559/12)</f><v>0</v></c><c r="G559" s="72"><f>IF(OR(A559&gt;&apos;Property Calculator&apos;!$B$70*12,D559&lt;=0),0,MAX(0,MIN(D559,E559-F559)))</f><v>0</v></c><c r="H559" s="126"><v>0</v></c><c r="I559" s="72"><f>IF(A559&gt;&apos;Property Calculator&apos;!$B$70*12,0,MAX(0,D559-G559-J559))</f><v>0</v></c><c r="J559" s="72"><f>IF(OR(A559&gt;&apos;Property Calculator&apos;!$B$70*12,D559&lt;=0),0,MIN(H559,MAX(0,D559-G559)))</f><v>0</v></c></row><row r="560" spans="1:10" x14ac:dyDescent="0.25"><c r="A560"><v>557</v></c><c r="B560"><f t="shared" si="8"/>&lt;v&gt;47&lt;/v&gt;&lt;/c&gt;&lt;c r=&quot;C560&quot; s=&quot;37&quot;&gt;&lt;f&gt;IF(A560&gt;&apos;Property Calculator&apos;!$B$70*12,0,IF(AND(&apos;Property Calculator&apos;!$B$72=1,B560&gt;&apos;Property Calculator&apos;!$B$69),&apos;Property Calculator&apos;!$B$73,&apos;Property Calculator&apos;!$B$65))</f><v>0</v></c><c r="D560" s="72"><f>IF(A560&gt;&apos;Property Calculator&apos;!$B$70*12,0,I559)</f><v>0</v></c><c r="E560" s="72"><f>IF(OR(A560&gt;&apos;Property Calculator&apos;!$B$70*12,D560&lt;=0),0,IF(AND(&apos;Property Calculator&apos;!$B$72=1,B560&gt;&apos;Property Calculator&apos;!$B$69),MIN(D560*C560/12+&apos;Property Calculator&apos;!$B$74/12,D560*(1+C560/12)),MIN(&apos;Property Calculator&apos;!$B$67,D560*(1+C560/12))))</f><v>0</v></c><c r="F560" s="72"><f>IF(OR(A560&gt;&apos;Property Calculator&apos;!$B$70*12,D560&lt;=0),0,D560*C560/12)</f><v>0</v></c><c r="G560" s="72"><f>IF(OR(A560&gt;&apos;Property Calculator&apos;!$B$70*12,D560&lt;=0),0,MAX(0,MIN(D560,E560-F560)))</f><v>0</v></c><c r="H560" s="126"><v>0</v></c><c r="I560" s="72"><f>IF(A560&gt;&apos;Property Calculator&apos;!$B$70*12,0,MAX(0,D560-G560-J560))</f><v>0</v></c><c r="J560" s="72"><f>IF(OR(A560&gt;&apos;Property Calculator&apos;!$B$70*12,D560&lt;=0),0,MIN(H560,MAX(0,D560-G560)))</f><v>0</v></c></row><row r="561" spans="1:10" x14ac:dyDescent="0.25"><c r="A561"><v>558</v></c><c r="B561"><f t="shared" si="8"/>&lt;v&gt;47&lt;/v&gt;&lt;/c&gt;&lt;c r=&quot;C561&quot; s=&quot;37&quot;&gt;&lt;f&gt;IF(A561&gt;&apos;Property Calculator&apos;!$B$70*12,0,IF(AND(&apos;Property Calculator&apos;!$B$72=1,B561&gt;&apos;Property Calculator&apos;!$B$69),&apos;Property Calculator&apos;!$B$73,&apos;Property Calculator&apos;!$B$65))</f><v>0</v></c><c r="D561" s="72"><f>IF(A561&gt;&apos;Property Calculator&apos;!$B$70*12,0,I560)</f><v>0</v></c><c r="E561" s="72"><f>IF(OR(A561&gt;&apos;Property Calculator&apos;!$B$70*12,D561&lt;=0),0,IF(AND(&apos;Property Calculator&apos;!$B$72=1,B561&gt;&apos;Property Calculator&apos;!$B$69),MIN(D561*C561/12+&apos;Property Calculator&apos;!$B$74/12,D561*(1+C561/12)),MIN(&apos;Property Calculator&apos;!$B$67,D561*(1+C561/12))))</f><v>0</v></c><c r="F561" s="72"><f>IF(OR(A561&gt;&apos;Property Calculator&apos;!$B$70*12,D561&lt;=0),0,D561*C561/12)</f><v>0</v></c><c r="G561" s="72"><f>IF(OR(A561&gt;&apos;Property Calculator&apos;!$B$70*12,D561&lt;=0),0,MAX(0,MIN(D561,E561-F561)))</f><v>0</v></c><c r="H561" s="126"><v>0</v></c><c r="I561" s="72"><f>IF(A561&gt;&apos;Property Calculator&apos;!$B$70*12,0,MAX(0,D561-G561-J561))</f><v>0</v></c><c r="J561" s="72"><f>IF(OR(A561&gt;&apos;Property Calculator&apos;!$B$70*12,D561&lt;=0),0,MIN(H561,MAX(0,D561-G561)))</f><v>0</v></c></row><row r="562" spans="1:10" x14ac:dyDescent="0.25"><c r="A562"><v>559</v></c><c r="B562"><f t="shared" si="8"/>&lt;v&gt;47&lt;/v&gt;&lt;/c&gt;&lt;c r=&quot;C562&quot; s=&quot;37&quot;&gt;&lt;f&gt;IF(A562&gt;&apos;Property Calculator&apos;!$B$70*12,0,IF(AND(&apos;Property Calculator&apos;!$B$72=1,B562&gt;&apos;Property Calculator&apos;!$B$69),&apos;Property Calculator&apos;!$B$73,&apos;Property Calculator&apos;!$B$65))</f><v>0</v></c><c r="D562" s="72"><f>IF(A562&gt;&apos;Property Calculator&apos;!$B$70*12,0,I561)</f><v>0</v></c><c r="E562" s="72"><f>IF(OR(A562&gt;&apos;Property Calculator&apos;!$B$70*12,D562&lt;=0),0,IF(AND(&apos;Property Calculator&apos;!$B$72=1,B562&gt;&apos;Property Calculator&apos;!$B$69),MIN(D562*C562/12+&apos;Property Calculator&apos;!$B$74/12,D562*(1+C562/12)),MIN(&apos;Property Calculator&apos;!$B$67,D562*(1+C562/12))))</f><v>0</v></c><c r="F562" s="72"><f>IF(OR(A562&gt;&apos;Property Calculator&apos;!$B$70*12,D562&lt;=0),0,D562*C562/12)</f><v>0</v></c><c r="G562" s="72"><f>IF(OR(A562&gt;&apos;Property Calculator&apos;!$B$70*12,D562&lt;=0),0,MAX(0,MIN(D562,E562-F562)))</f><v>0</v></c><c r="H562" s="126"><v>0</v></c><c r="I562" s="72"><f>IF(A562&gt;&apos;Property Calculator&apos;!$B$70*12,0,MAX(0,D562-G562-J562))</f><v>0</v></c><c r="J562" s="72"><f>IF(OR(A562&gt;&apos;Property Calculator&apos;!$B$70*12,D562&lt;=0),0,MIN(H562,MAX(0,D562-G562)))</f><v>0</v></c></row><row r="563" spans="1:10" x14ac:dyDescent="0.25"><c r="A563"><v>560</v></c><c r="B563"><f t="shared" si="8"/>&lt;v&gt;47&lt;/v&gt;&lt;/c&gt;&lt;c r=&quot;C563&quot; s=&quot;37&quot;&gt;&lt;f&gt;IF(A563&gt;&apos;Property Calculator&apos;!$B$70*12,0,IF(AND(&apos;Property Calculator&apos;!$B$72=1,B563&gt;&apos;Property Calculator&apos;!$B$69),&apos;Property Calculator&apos;!$B$73,&apos;Property Calculator&apos;!$B$65))</f><v>0</v></c><c r="D563" s="72"><f>IF(A563&gt;&apos;Property Calculator&apos;!$B$70*12,0,I562)</f><v>0</v></c><c r="E563" s="72"><f>IF(OR(A563&gt;&apos;Property Calculator&apos;!$B$70*12,D563&lt;=0),0,IF(AND(&apos;Property Calculator&apos;!$B$72=1,B563&gt;&apos;Property Calculator&apos;!$B$69),MIN(D563*C563/12+&apos;Property Calculator&apos;!$B$74/12,D563*(1+C563/12)),MIN(&apos;Property Calculator&apos;!$B$67,D563*(1+C563/12))))</f><v>0</v></c><c r="F563" s="72"><f>IF(OR(A563&gt;&apos;Property Calculator&apos;!$B$70*12,D563&lt;=0),0,D563*C563/12)</f><v>0</v></c><c r="G563" s="72"><f>IF(OR(A563&gt;&apos;Property Calculator&apos;!$B$70*12,D563&lt;=0),0,MAX(0,MIN(D563,E563-F563)))</f><v>0</v></c><c r="H563" s="126"><v>0</v></c><c r="I563" s="72"><f>IF(A563&gt;&apos;Property Calculator&apos;!$B$70*12,0,MAX(0,D563-G563-J563))</f><v>0</v></c><c r="J563" s="72"><f>IF(OR(A563&gt;&apos;Property Calculator&apos;!$B$70*12,D563&lt;=0),0,MIN(H563,MAX(0,D563-G563)))</f><v>0</v></c></row><row r="564" spans="1:10" x14ac:dyDescent="0.25"><c r="A564"><v>561</v></c><c r="B564"><f t="shared" si="8"/>&lt;v&gt;47&lt;/v&gt;&lt;/c&gt;&lt;c r=&quot;C564&quot; s=&quot;37&quot;&gt;&lt;f&gt;IF(A564&gt;&apos;Property Calculator&apos;!$B$70*12,0,IF(AND(&apos;Property Calculator&apos;!$B$72=1,B564&gt;&apos;Property Calculator&apos;!$B$69),&apos;Property Calculator&apos;!$B$73,&apos;Property Calculator&apos;!$B$65))</f><v>0</v></c><c r="D564" s="72"><f>IF(A564&gt;&apos;Property Calculator&apos;!$B$70*12,0,I563)</f><v>0</v></c><c r="E564" s="72"><f>IF(OR(A564&gt;&apos;Property Calculator&apos;!$B$70*12,D564&lt;=0),0,IF(AND(&apos;Property Calculator&apos;!$B$72=1,B564&gt;&apos;Property Calculator&apos;!$B$69),MIN(D564*C564/12+&apos;Property Calculator&apos;!$B$74/12,D564*(1+C564/12)),MIN(&apos;Property Calculator&apos;!$B$67,D564*(1+C564/12))))</f><v>0</v></c><c r="F564" s="72"><f>IF(OR(A564&gt;&apos;Property Calculator&apos;!$B$70*12,D564&lt;=0),0,D564*C564/12)</f><v>0</v></c><c r="G564" s="72"><f>IF(OR(A564&gt;&apos;Property Calculator&apos;!$B$70*12,D564&lt;=0),0,MAX(0,MIN(D564,E564-F564)))</f><v>0</v></c><c r="H564" s="126"><v>0</v></c><c r="I564" s="72"><f>IF(A564&gt;&apos;Property Calculator&apos;!$B$70*12,0,MAX(0,D564-G564-J564))</f><v>0</v></c><c r="J564" s="72"><f>IF(OR(A564&gt;&apos;Property Calculator&apos;!$B$70*12,D564&lt;=0),0,MIN(H564,MAX(0,D564-G564)))</f><v>0</v></c></row><row r="565" spans="1:10" x14ac:dyDescent="0.25"><c r="A565"><v>562</v></c><c r="B565"><f t="shared" si="8"/>&lt;v&gt;47&lt;/v&gt;&lt;/c&gt;&lt;c r=&quot;C565&quot; s=&quot;37&quot;&gt;&lt;f&gt;IF(A565&gt;&apos;Property Calculator&apos;!$B$70*12,0,IF(AND(&apos;Property Calculator&apos;!$B$72=1,B565&gt;&apos;Property Calculator&apos;!$B$69),&apos;Property Calculator&apos;!$B$73,&apos;Property Calculator&apos;!$B$65))</f><v>0</v></c><c r="D565" s="72"><f>IF(A565&gt;&apos;Property Calculator&apos;!$B$70*12,0,I564)</f><v>0</v></c><c r="E565" s="72"><f>IF(OR(A565&gt;&apos;Property Calculator&apos;!$B$70*12,D565&lt;=0),0,IF(AND(&apos;Property Calculator&apos;!$B$72=1,B565&gt;&apos;Property Calculator&apos;!$B$69),MIN(D565*C565/12+&apos;Property Calculator&apos;!$B$74/12,D565*(1+C565/12)),MIN(&apos;Property Calculator&apos;!$B$67,D565*(1+C565/12))))</f><v>0</v></c><c r="F565" s="72"><f>IF(OR(A565&gt;&apos;Property Calculator&apos;!$B$70*12,D565&lt;=0),0,D565*C565/12)</f><v>0</v></c><c r="G565" s="72"><f>IF(OR(A565&gt;&apos;Property Calculator&apos;!$B$70*12,D565&lt;=0),0,MAX(0,MIN(D565,E565-F565)))</f><v>0</v></c><c r="H565" s="126"><v>0</v></c><c r="I565" s="72"><f>IF(A565&gt;&apos;Property Calculator&apos;!$B$70*12,0,MAX(0,D565-G565-J565))</f><v>0</v></c><c r="J565" s="72"><f>IF(OR(A565&gt;&apos;Property Calculator&apos;!$B$70*12,D565&lt;=0),0,MIN(H565,MAX(0,D565-G565)))</f><v>0</v></c></row><row r="566" spans="1:10" x14ac:dyDescent="0.25"><c r="A566"><v>563</v></c><c r="B566"><f t="shared" si="8"/>&lt;v&gt;47&lt;/v&gt;&lt;/c&gt;&lt;c r=&quot;C566&quot; s=&quot;37&quot;&gt;&lt;f&gt;IF(A566&gt;&apos;Property Calculator&apos;!$B$70*12,0,IF(AND(&apos;Property Calculator&apos;!$B$72=1,B566&gt;&apos;Property Calculator&apos;!$B$69),&apos;Property Calculator&apos;!$B$73,&apos;Property Calculator&apos;!$B$65))</f><v>0</v></c><c r="D566" s="72"><f>IF(A566&gt;&apos;Property Calculator&apos;!$B$70*12,0,I565)</f><v>0</v></c><c r="E566" s="72"><f>IF(OR(A566&gt;&apos;Property Calculator&apos;!$B$70*12,D566&lt;=0),0,IF(AND(&apos;Property Calculator&apos;!$B$72=1,B566&gt;&apos;Property Calculator&apos;!$B$69),MIN(D566*C566/12+&apos;Property Calculator&apos;!$B$74/12,D566*(1+C566/12)),MIN(&apos;Property Calculator&apos;!$B$67,D566*(1+C566/12))))</f><v>0</v></c><c r="F566" s="72"><f>IF(OR(A566&gt;&apos;Property Calculator&apos;!$B$70*12,D566&lt;=0),0,D566*C566/12)</f><v>0</v></c><c r="G566" s="72"><f>IF(OR(A566&gt;&apos;Property Calculator&apos;!$B$70*12,D566&lt;=0),0,MAX(0,MIN(D566,E566-F566)))</f><v>0</v></c><c r="H566" s="126"><v>0</v></c><c r="I566" s="72"><f>IF(A566&gt;&apos;Property Calculator&apos;!$B$70*12,0,MAX(0,D566-G566-J566))</f><v>0</v></c><c r="J566" s="72"><f>IF(OR(A566&gt;&apos;Property Calculator&apos;!$B$70*12,D566&lt;=0),0,MIN(H566,MAX(0,D566-G566)))</f><v>0</v></c></row><row r="567" spans="1:10" x14ac:dyDescent="0.25"><c r="A567"><v>564</v></c><c r="B567"><f t="shared" si="8"/>&lt;v&gt;47&lt;/v&gt;&lt;/c&gt;&lt;c r=&quot;C567&quot; s=&quot;37&quot;&gt;&lt;f&gt;IF(A567&gt;&apos;Property Calculator&apos;!$B$70*12,0,IF(AND(&apos;Property Calculator&apos;!$B$72=1,B567&gt;&apos;Property Calculator&apos;!$B$69),&apos;Property Calculator&apos;!$B$73,&apos;Property Calculator&apos;!$B$65))</f><v>0</v></c><c r="D567" s="72"><f>IF(A567&gt;&apos;Property Calculator&apos;!$B$70*12,0,I566)</f><v>0</v></c><c r="E567" s="72"><f>IF(OR(A567&gt;&apos;Property Calculator&apos;!$B$70*12,D567&lt;=0),0,IF(AND(&apos;Property Calculator&apos;!$B$72=1,B567&gt;&apos;Property Calculator&apos;!$B$69),MIN(D567*C567/12+&apos;Property Calculator&apos;!$B$74/12,D567*(1+C567/12)),MIN(&apos;Property Calculator&apos;!$B$67,D567*(1+C567/12))))</f><v>0</v></c><c r="F567" s="72"><f>IF(OR(A567&gt;&apos;Property Calculator&apos;!$B$70*12,D567&lt;=0),0,D567*C567/12)</f><v>0</v></c><c r="G567" s="72"><f>IF(OR(A567&gt;&apos;Property Calculator&apos;!$B$70*12,D567&lt;=0),0,MAX(0,MIN(D567,E567-F567)))</f><v>0</v></c><c r="H567" s="126"><v>0</v></c><c r="I567" s="72"><f>IF(A567&gt;&apos;Property Calculator&apos;!$B$70*12,0,MAX(0,D567-G567-J567))</f><v>0</v></c><c r="J567" s="72"><f>IF(OR(A567&gt;&apos;Property Calculator&apos;!$B$70*12,D567&lt;=0),0,MIN(H567,MAX(0,D567-G567)))</f><v>0</v></c></row><row r="568" spans="1:10" x14ac:dyDescent="0.25"><c r="A568"><v>565</v></c><c r="B568"><f t="shared" si="8"/>&lt;v&gt;48&lt;/v&gt;&lt;/c&gt;&lt;c r=&quot;C568&quot; s=&quot;37&quot;&gt;&lt;f&gt;IF(A568&gt;&apos;Property Calculator&apos;!$B$70*12,0,IF(AND(&apos;Property Calculator&apos;!$B$72=1,B568&gt;&apos;Property Calculator&apos;!$B$69),&apos;Property Calculator&apos;!$B$73,&apos;Property Calculator&apos;!$B$65))</f><v>0</v></c><c r="D568" s="72"><f>IF(A568&gt;&apos;Property Calculator&apos;!$B$70*12,0,I567)</f><v>0</v></c><c r="E568" s="72"><f>IF(OR(A568&gt;&apos;Property Calculator&apos;!$B$70*12,D568&lt;=0),0,IF(AND(&apos;Property Calculator&apos;!$B$72=1,B568&gt;&apos;Property Calculator&apos;!$B$69),MIN(D568*C568/12+&apos;Property Calculator&apos;!$B$74/12,D568*(1+C568/12)),MIN(&apos;Property Calculator&apos;!$B$67,D568*(1+C568/12))))</f><v>0</v></c><c r="F568" s="72"><f>IF(OR(A568&gt;&apos;Property Calculator&apos;!$B$70*12,D568&lt;=0),0,D568*C568/12)</f><v>0</v></c><c r="G568" s="72"><f>IF(OR(A568&gt;&apos;Property Calculator&apos;!$B$70*12,D568&lt;=0),0,MAX(0,MIN(D568,E568-F568)))</f><v>0</v></c><c r="H568" s="126"><v>0</v></c><c r="I568" s="72"><f>IF(A568&gt;&apos;Property Calculator&apos;!$B$70*12,0,MAX(0,D568-G568-J568))</f><v>0</v></c><c r="J568" s="72"><f>IF(OR(A568&gt;&apos;Property Calculator&apos;!$B$70*12,D568&lt;=0),0,MIN(H568,MAX(0,D568-G568)))</f><v>0</v></c></row><row r="569" spans="1:10" x14ac:dyDescent="0.25"><c r="A569"><v>566</v></c><c r="B569"><f t="shared" si="8"/>&lt;v&gt;48&lt;/v&gt;&lt;/c&gt;&lt;c r=&quot;C569&quot; s=&quot;37&quot;&gt;&lt;f&gt;IF(A569&gt;&apos;Property Calculator&apos;!$B$70*12,0,IF(AND(&apos;Property Calculator&apos;!$B$72=1,B569&gt;&apos;Property Calculator&apos;!$B$69),&apos;Property Calculator&apos;!$B$73,&apos;Property Calculator&apos;!$B$65))</f><v>0</v></c><c r="D569" s="72"><f>IF(A569&gt;&apos;Property Calculator&apos;!$B$70*12,0,I568)</f><v>0</v></c><c r="E569" s="72"><f>IF(OR(A569&gt;&apos;Property Calculator&apos;!$B$70*12,D569&lt;=0),0,IF(AND(&apos;Property Calculator&apos;!$B$72=1,B569&gt;&apos;Property Calculator&apos;!$B$69),MIN(D569*C569/12+&apos;Property Calculator&apos;!$B$74/12,D569*(1+C569/12)),MIN(&apos;Property Calculator&apos;!$B$67,D569*(1+C569/12))))</f><v>0</v></c><c r="F569" s="72"><f>IF(OR(A569&gt;&apos;Property Calculator&apos;!$B$70*12,D569&lt;=0),0,D569*C569/12)</f><v>0</v></c><c r="G569" s="72"><f>IF(OR(A569&gt;&apos;Property Calculator&apos;!$B$70*12,D569&lt;=0),0,MAX(0,MIN(D569,E569-F569)))</f><v>0</v></c><c r="H569" s="126"><v>0</v></c><c r="I569" s="72"><f>IF(A569&gt;&apos;Property Calculator&apos;!$B$70*12,0,MAX(0,D569-G569-J569))</f><v>0</v></c><c r="J569" s="72"><f>IF(OR(A569&gt;&apos;Property Calculator&apos;!$B$70*12,D569&lt;=0),0,MIN(H569,MAX(0,D569-G569)))</f><v>0</v></c></row><row r="570" spans="1:10" x14ac:dyDescent="0.25"><c r="A570"><v>567</v></c><c r="B570"><f t="shared" si="8"/>&lt;v&gt;48&lt;/v&gt;&lt;/c&gt;&lt;c r=&quot;C570&quot; s=&quot;37&quot;&gt;&lt;f&gt;IF(A570&gt;&apos;Property Calculator&apos;!$B$70*12,0,IF(AND(&apos;Property Calculator&apos;!$B$72=1,B570&gt;&apos;Property Calculator&apos;!$B$69),&apos;Property Calculator&apos;!$B$73,&apos;Property Calculator&apos;!$B$65))</f><v>0</v></c><c r="D570" s="72"><f>IF(A570&gt;&apos;Property Calculator&apos;!$B$70*12,0,I569)</f><v>0</v></c><c r="E570" s="72"><f>IF(OR(A570&gt;&apos;Property Calculator&apos;!$B$70*12,D570&lt;=0),0,IF(AND(&apos;Property Calculator&apos;!$B$72=1,B570&gt;&apos;Property Calculator&apos;!$B$69),MIN(D570*C570/12+&apos;Property Calculator&apos;!$B$74/12,D570*(1+C570/12)),MIN(&apos;Property Calculator&apos;!$B$67,D570*(1+C570/12))))</f><v>0</v></c><c r="F570" s="72"><f>IF(OR(A570&gt;&apos;Property Calculator&apos;!$B$70*12,D570&lt;=0),0,D570*C570/12)</f><v>0</v></c><c r="G570" s="72"><f>IF(OR(A570&gt;&apos;Property Calculator&apos;!$B$70*12,D570&lt;=0),0,MAX(0,MIN(D570,E570-F570)))</f><v>0</v></c><c r="H570" s="126"><v>0</v></c><c r="I570" s="72"><f>IF(A570&gt;&apos;Property Calculator&apos;!$B$70*12,0,MAX(0,D570-G570-J570))</f><v>0</v></c><c r="J570" s="72"><f>IF(OR(A570&gt;&apos;Property Calculator&apos;!$B$70*12,D570&lt;=0),0,MIN(H570,MAX(0,D570-G570)))</f><v>0</v></c></row><row r="571" spans="1:10" x14ac:dyDescent="0.25"><c r="A571"><v>568</v></c><c r="B571"><f t="shared" si="8"/>&lt;v&gt;48&lt;/v&gt;&lt;/c&gt;&lt;c r=&quot;C571&quot; s=&quot;37&quot;&gt;&lt;f&gt;IF(A571&gt;&apos;Property Calculator&apos;!$B$70*12,0,IF(AND(&apos;Property Calculator&apos;!$B$72=1,B571&gt;&apos;Property Calculator&apos;!$B$69),&apos;Property Calculator&apos;!$B$73,&apos;Property Calculator&apos;!$B$65))</f><v>0</v></c><c r="D571" s="72"><f>IF(A571&gt;&apos;Property Calculator&apos;!$B$70*12,0,I570)</f><v>0</v></c><c r="E571" s="72"><f>IF(OR(A571&gt;&apos;Property Calculator&apos;!$B$70*12,D571&lt;=0),0,IF(AND(&apos;Property Calculator&apos;!$B$72=1,B571&gt;&apos;Property Calculator&apos;!$B$69),MIN(D571*C571/12+&apos;Property Calculator&apos;!$B$74/12,D571*(1+C571/12)),MIN(&apos;Property Calculator&apos;!$B$67,D571*(1+C571/12))))</f><v>0</v></c><c r="F571" s="72"><f>IF(OR(A571&gt;&apos;Property Calculator&apos;!$B$70*12,D571&lt;=0),0,D571*C571/12)</f><v>0</v></c><c r="G571" s="72"><f>IF(OR(A571&gt;&apos;Property Calculator&apos;!$B$70*12,D571&lt;=0),0,MAX(0,MIN(D571,E571-F571)))</f><v>0</v></c><c r="H571" s="126"><v>0</v></c><c r="I571" s="72"><f>IF(A571&gt;&apos;Property Calculator&apos;!$B$70*12,0,MAX(0,D571-G571-J571))</f><v>0</v></c><c r="J571" s="72"><f>IF(OR(A571&gt;&apos;Property Calculator&apos;!$B$70*12,D571&lt;=0),0,MIN(H571,MAX(0,D571-G571)))</f><v>0</v></c></row><row r="572" spans="1:10" x14ac:dyDescent="0.25"><c r="A572"><v>569</v></c><c r="B572"><f t="shared" si="8"/>&lt;v&gt;48&lt;/v&gt;&lt;/c&gt;&lt;c r=&quot;C572&quot; s=&quot;37&quot;&gt;&lt;f&gt;IF(A572&gt;&apos;Property Calculator&apos;!$B$70*12,0,IF(AND(&apos;Property Calculator&apos;!$B$72=1,B572&gt;&apos;Property Calculator&apos;!$B$69),&apos;Property Calculator&apos;!$B$73,&apos;Property Calculator&apos;!$B$65))</f><v>0</v></c><c r="D572" s="72"><f>IF(A572&gt;&apos;Property Calculator&apos;!$B$70*12,0,I571)</f><v>0</v></c><c r="E572" s="72"><f>IF(OR(A572&gt;&apos;Property Calculator&apos;!$B$70*12,D572&lt;=0),0,IF(AND(&apos;Property Calculator&apos;!$B$72=1,B572&gt;&apos;Property Calculator&apos;!$B$69),MIN(D572*C572/12+&apos;Property Calculator&apos;!$B$74/12,D572*(1+C572/12)),MIN(&apos;Property Calculator&apos;!$B$67,D572*(1+C572/12))))</f><v>0</v></c><c r="F572" s="72"><f>IF(OR(A572&gt;&apos;Property Calculator&apos;!$B$70*12,D572&lt;=0),0,D572*C572/12)</f><v>0</v></c><c r="G572" s="72"><f>IF(OR(A572&gt;&apos;Property Calculator&apos;!$B$70*12,D572&lt;=0),0,MAX(0,MIN(D572,E572-F572)))</f><v>0</v></c><c r="H572" s="126"><v>0</v></c><c r="I572" s="72"><f>IF(A572&gt;&apos;Property Calculator&apos;!$B$70*12,0,MAX(0,D572-G572-J572))</f><v>0</v></c><c r="J572" s="72"><f>IF(OR(A572&gt;&apos;Property Calculator&apos;!$B$70*12,D572&lt;=0),0,MIN(H572,MAX(0,D572-G572)))</f><v>0</v></c></row><row r="573" spans="1:10" x14ac:dyDescent="0.25"><c r="A573"><v>570</v></c><c r="B573"><f t="shared" si="8"/>&lt;v&gt;48&lt;/v&gt;&lt;/c&gt;&lt;c r=&quot;C573&quot; s=&quot;37&quot;&gt;&lt;f&gt;IF(A573&gt;&apos;Property Calculator&apos;!$B$70*12,0,IF(AND(&apos;Property Calculator&apos;!$B$72=1,B573&gt;&apos;Property Calculator&apos;!$B$69),&apos;Property Calculator&apos;!$B$73,&apos;Property Calculator&apos;!$B$65))</f><v>0</v></c><c r="D573" s="72"><f>IF(A573&gt;&apos;Property Calculator&apos;!$B$70*12,0,I572)</f><v>0</v></c><c r="E573" s="72"><f>IF(OR(A573&gt;&apos;Property Calculator&apos;!$B$70*12,D573&lt;=0),0,IF(AND(&apos;Property Calculator&apos;!$B$72=1,B573&gt;&apos;Property Calculator&apos;!$B$69),MIN(D573*C573/12+&apos;Property Calculator&apos;!$B$74/12,D573*(1+C573/12)),MIN(&apos;Property Calculator&apos;!$B$67,D573*(1+C573/12))))</f><v>0</v></c><c r="F573" s="72"><f>IF(OR(A573&gt;&apos;Property Calculator&apos;!$B$70*12,D573&lt;=0),0,D573*C573/12)</f><v>0</v></c><c r="G573" s="72"><f>IF(OR(A573&gt;&apos;Property Calculator&apos;!$B$70*12,D573&lt;=0),0,MAX(0,MIN(D573,E573-F573)))</f><v>0</v></c><c r="H573" s="126"><v>0</v></c><c r="I573" s="72"><f>IF(A573&gt;&apos;Property Calculator&apos;!$B$70*12,0,MAX(0,D573-G573-J573))</f><v>0</v></c><c r="J573" s="72"><f>IF(OR(A573&gt;&apos;Property Calculator&apos;!$B$70*12,D573&lt;=0),0,MIN(H573,MAX(0,D573-G573)))</f><v>0</v></c></row><row r="574" spans="1:10" x14ac:dyDescent="0.25"><c r="A574"><v>571</v></c><c r="B574"><f t="shared" si="8"/>&lt;v&gt;48&lt;/v&gt;&lt;/c&gt;&lt;c r=&quot;C574&quot; s=&quot;37&quot;&gt;&lt;f&gt;IF(A574&gt;&apos;Property Calculator&apos;!$B$70*12,0,IF(AND(&apos;Property Calculator&apos;!$B$72=1,B574&gt;&apos;Property Calculator&apos;!$B$69),&apos;Property Calculator&apos;!$B$73,&apos;Property Calculator&apos;!$B$65))</f><v>0</v></c><c r="D574" s="72"><f>IF(A574&gt;&apos;Property Calculator&apos;!$B$70*12,0,I573)</f><v>0</v></c><c r="E574" s="72"><f>IF(OR(A574&gt;&apos;Property Calculator&apos;!$B$70*12,D574&lt;=0),0,IF(AND(&apos;Property Calculator&apos;!$B$72=1,B574&gt;&apos;Property Calculator&apos;!$B$69),MIN(D574*C574/12+&apos;Property Calculator&apos;!$B$74/12,D574*(1+C574/12)),MIN(&apos;Property Calculator&apos;!$B$67,D574*(1+C574/12))))</f><v>0</v></c><c r="F574" s="72"><f>IF(OR(A574&gt;&apos;Property Calculator&apos;!$B$70*12,D574&lt;=0),0,D574*C574/12)</f><v>0</v></c><c r="G574" s="72"><f>IF(OR(A574&gt;&apos;Property Calculator&apos;!$B$70*12,D574&lt;=0),0,MAX(0,MIN(D574,E574-F574)))</f><v>0</v></c><c r="H574" s="126"><v>0</v></c><c r="I574" s="72"><f>IF(A574&gt;&apos;Property Calculator&apos;!$B$70*12,0,MAX(0,D574-G574-J574))</f><v>0</v></c><c r="J574" s="72"><f>IF(OR(A574&gt;&apos;Property Calculator&apos;!$B$70*12,D574&lt;=0),0,MIN(H574,MAX(0,D574-G574)))</f><v>0</v></c></row><row r="575" spans="1:10" x14ac:dyDescent="0.25"><c r="A575"><v>572</v></c><c r="B575"><f t="shared" si="8"/>&lt;v&gt;48&lt;/v&gt;&lt;/c&gt;&lt;c r=&quot;C575&quot; s=&quot;37&quot;&gt;&lt;f&gt;IF(A575&gt;&apos;Property Calculator&apos;!$B$70*12,0,IF(AND(&apos;Property Calculator&apos;!$B$72=1,B575&gt;&apos;Property Calculator&apos;!$B$69),&apos;Property Calculator&apos;!$B$73,&apos;Property Calculator&apos;!$B$65))</f><v>0</v></c><c r="D575" s="72"><f>IF(A575&gt;&apos;Property Calculator&apos;!$B$70*12,0,I574)</f><v>0</v></c><c r="E575" s="72"><f>IF(OR(A575&gt;&apos;Property Calculator&apos;!$B$70*12,D575&lt;=0),0,IF(AND(&apos;Property Calculator&apos;!$B$72=1,B575&gt;&apos;Property Calculator&apos;!$B$69),MIN(D575*C575/12+&apos;Property Calculator&apos;!$B$74/12,D575*(1+C575/12)),MIN(&apos;Property Calculator&apos;!$B$67,D575*(1+C575/12))))</f><v>0</v></c><c r="F575" s="72"><f>IF(OR(A575&gt;&apos;Property Calculator&apos;!$B$70*12,D575&lt;=0),0,D575*C575/12)</f><v>0</v></c><c r="G575" s="72"><f>IF(OR(A575&gt;&apos;Property Calculator&apos;!$B$70*12,D575&lt;=0),0,MAX(0,MIN(D575,E575-F575)))</f><v>0</v></c><c r="H575" s="126"><v>0</v></c><c r="I575" s="72"><f>IF(A575&gt;&apos;Property Calculator&apos;!$B$70*12,0,MAX(0,D575-G575-J575))</f><v>0</v></c><c r="J575" s="72"><f>IF(OR(A575&gt;&apos;Property Calculator&apos;!$B$70*12,D575&lt;=0),0,MIN(H575,MAX(0,D575-G575)))</f><v>0</v></c></row><row r="576" spans="1:10" x14ac:dyDescent="0.25"><c r="A576"><v>573</v></c><c r="B576"><f t="shared" si="8"/>&lt;v&gt;48&lt;/v&gt;&lt;/c&gt;&lt;c r=&quot;C576&quot; s=&quot;37&quot;&gt;&lt;f&gt;IF(A576&gt;&apos;Property Calculator&apos;!$B$70*12,0,IF(AND(&apos;Property Calculator&apos;!$B$72=1,B576&gt;&apos;Property Calculator&apos;!$B$69),&apos;Property Calculator&apos;!$B$73,&apos;Property Calculator&apos;!$B$65))</f><v>0</v></c><c r="D576" s="72"><f>IF(A576&gt;&apos;Property Calculator&apos;!$B$70*12,0,I575)</f><v>0</v></c><c r="E576" s="72"><f>IF(OR(A576&gt;&apos;Property Calculator&apos;!$B$70*12,D576&lt;=0),0,IF(AND(&apos;Property Calculator&apos;!$B$72=1,B576&gt;&apos;Property Calculator&apos;!$B$69),MIN(D576*C576/12+&apos;Property Calculator&apos;!$B$74/12,D576*(1+C576/12)),MIN(&apos;Property Calculator&apos;!$B$67,D576*(1+C576/12))))</f><v>0</v></c><c r="F576" s="72"><f>IF(OR(A576&gt;&apos;Property Calculator&apos;!$B$70*12,D576&lt;=0),0,D576*C576/12)</f><v>0</v></c><c r="G576" s="72"><f>IF(OR(A576&gt;&apos;Property Calculator&apos;!$B$70*12,D576&lt;=0),0,MAX(0,MIN(D576,E576-F576)))</f><v>0</v></c><c r="H576" s="126"><v>0</v></c><c r="I576" s="72"><f>IF(A576&gt;&apos;Property Calculator&apos;!$B$70*12,0,MAX(0,D576-G576-J576))</f><v>0</v></c><c r="J576" s="72"><f>IF(OR(A576&gt;&apos;Property Calculator&apos;!$B$70*12,D576&lt;=0),0,MIN(H576,MAX(0,D576-G576)))</f><v>0</v></c></row><row r="577" spans="1:10" x14ac:dyDescent="0.25"><c r="A577"><v>574</v></c><c r="B577"><f t="shared" si="8"/>&lt;v&gt;48&lt;/v&gt;&lt;/c&gt;&lt;c r=&quot;C577&quot; s=&quot;37&quot;&gt;&lt;f&gt;IF(A577&gt;&apos;Property Calculator&apos;!$B$70*12,0,IF(AND(&apos;Property Calculator&apos;!$B$72=1,B577&gt;&apos;Property Calculator&apos;!$B$69),&apos;Property Calculator&apos;!$B$73,&apos;Property Calculator&apos;!$B$65))</f><v>0</v></c><c r="D577" s="72"><f>IF(A577&gt;&apos;Property Calculator&apos;!$B$70*12,0,I576)</f><v>0</v></c><c r="E577" s="72"><f>IF(OR(A577&gt;&apos;Property Calculator&apos;!$B$70*12,D577&lt;=0),0,IF(AND(&apos;Property Calculator&apos;!$B$72=1,B577&gt;&apos;Property Calculator&apos;!$B$69),MIN(D577*C577/12+&apos;Property Calculator&apos;!$B$74/12,D577*(1+C577/12)),MIN(&apos;Property Calculator&apos;!$B$67,D577*(1+C577/12))))</f><v>0</v></c><c r="F577" s="72"><f>IF(OR(A577&gt;&apos;Property Calculator&apos;!$B$70*12,D577&lt;=0),0,D577*C577/12)</f><v>0</v></c><c r="G577" s="72"><f>IF(OR(A577&gt;&apos;Property Calculator&apos;!$B$70*12,D577&lt;=0),0,MAX(0,MIN(D577,E577-F577)))</f><v>0</v></c><c r="H577" s="126"><v>0</v></c><c r="I577" s="72"><f>IF(A577&gt;&apos;Property Calculator&apos;!$B$70*12,0,MAX(0,D577-G577-J577))</f><v>0</v></c><c r="J577" s="72"><f>IF(OR(A577&gt;&apos;Property Calculator&apos;!$B$70*12,D577&lt;=0),0,MIN(H577,MAX(0,D577-G577)))</f><v>0</v></c></row><row r="578" spans="1:10" x14ac:dyDescent="0.25"><c r="A578"><v>575</v></c><c r="B578"><f t="shared" si="8"/>&lt;v&gt;48&lt;/v&gt;&lt;/c&gt;&lt;c r=&quot;C578&quot; s=&quot;37&quot;&gt;&lt;f&gt;IF(A578&gt;&apos;Property Calculator&apos;!$B$70*12,0,IF(AND(&apos;Property Calculator&apos;!$B$72=1,B578&gt;&apos;Property Calculator&apos;!$B$69),&apos;Property Calculator&apos;!$B$73,&apos;Property Calculator&apos;!$B$65))</f><v>0</v></c><c r="D578" s="72"><f>IF(A578&gt;&apos;Property Calculator&apos;!$B$70*12,0,I577)</f><v>0</v></c><c r="E578" s="72"><f>IF(OR(A578&gt;&apos;Property Calculator&apos;!$B$70*12,D578&lt;=0),0,IF(AND(&apos;Property Calculator&apos;!$B$72=1,B578&gt;&apos;Property Calculator&apos;!$B$69),MIN(D578*C578/12+&apos;Property Calculator&apos;!$B$74/12,D578*(1+C578/12)),MIN(&apos;Property Calculator&apos;!$B$67,D578*(1+C578/12))))</f><v>0</v></c><c r="F578" s="72"><f>IF(OR(A578&gt;&apos;Property Calculator&apos;!$B$70*12,D578&lt;=0),0,D578*C578/12)</f><v>0</v></c><c r="G578" s="72"><f>IF(OR(A578&gt;&apos;Property Calculator&apos;!$B$70*12,D578&lt;=0),0,MAX(0,MIN(D578,E578-F578)))</f><v>0</v></c><c r="H578" s="126"><v>0</v></c><c r="I578" s="72"><f>IF(A578&gt;&apos;Property Calculator&apos;!$B$70*12,0,MAX(0,D578-G578-J578))</f><v>0</v></c><c r="J578" s="72"><f>IF(OR(A578&gt;&apos;Property Calculator&apos;!$B$70*12,D578&lt;=0),0,MIN(H578,MAX(0,D578-G578)))</f><v>0</v></c></row><row r="579" spans="1:10" x14ac:dyDescent="0.25"><c r="A579"><v>576</v></c><c r="B579"><f t="shared" si="8"/>&lt;v&gt;48&lt;/v&gt;&lt;/c&gt;&lt;c r=&quot;C579&quot; s=&quot;37&quot;&gt;&lt;f&gt;IF(A579&gt;&apos;Property Calculator&apos;!$B$70*12,0,IF(AND(&apos;Property Calculator&apos;!$B$72=1,B579&gt;&apos;Property Calculator&apos;!$B$69),&apos;Property Calculator&apos;!$B$73,&apos;Property Calculator&apos;!$B$65))</f><v>0</v></c><c r="D579" s="72"><f>IF(A579&gt;&apos;Property Calculator&apos;!$B$70*12,0,I578)</f><v>0</v></c><c r="E579" s="72"><f>IF(OR(A579&gt;&apos;Property Calculator&apos;!$B$70*12,D579&lt;=0),0,IF(AND(&apos;Property Calculator&apos;!$B$72=1,B579&gt;&apos;Property Calculator&apos;!$B$69),MIN(D579*C579/12+&apos;Property Calculator&apos;!$B$74/12,D579*(1+C579/12)),MIN(&apos;Property Calculator&apos;!$B$67,D579*(1+C579/12))))</f><v>0</v></c><c r="F579" s="72"><f>IF(OR(A579&gt;&apos;Property Calculator&apos;!$B$70*12,D579&lt;=0),0,D579*C579/12)</f><v>0</v></c><c r="G579" s="72"><f>IF(OR(A579&gt;&apos;Property Calculator&apos;!$B$70*12,D579&lt;=0),0,MAX(0,MIN(D579,E579-F579)))</f><v>0</v></c><c r="H579" s="126"><v>0</v></c><c r="I579" s="72"><f>IF(A579&gt;&apos;Property Calculator&apos;!$B$70*12,0,MAX(0,D579-G579-J579))</f><v>0</v></c><c r="J579" s="72"><f>IF(OR(A579&gt;&apos;Property Calculator&apos;!$B$70*12,D579&lt;=0),0,MIN(H579,MAX(0,D579-G579)))</f><v>0</v></c></row><row r="580" spans="1:10" x14ac:dyDescent="0.25"><c r="A580"><v>577</v></c><c r="B580"><f t="shared" ref="B580:B603" si="9">INT((A580-1)/12)+1</f><v>49</v></c><c r="C580" s="37"><f>IF(A580&gt;&apos;Property Calculator&apos;!$B$70*12,0,IF(AND(&apos;Property Calculator&apos;!$B$72=1,B580&gt;&apos;Property Calculator&apos;!$B$69),&apos;Property Calculator&apos;!$B$73,&apos;Property Calculator&apos;!$B$65))</f><v>0</v></c><c r="D580" s="72"><f>IF(A580&gt;&apos;Property Calculator&apos;!$B$70*12,0,I579)</f><v>0</v></c><c r="E580" s="72"><f>IF(OR(A580&gt;&apos;Property Calculator&apos;!$B$70*12,D580&lt;=0),0,IF(AND(&apos;Property Calculator&apos;!$B$72=1,B580&gt;&apos;Property Calculator&apos;!$B$69),MIN(D580*C580/12+&apos;Property Calculator&apos;!$B$74/12,D580*(1+C580/12)),MIN(&apos;Property Calculator&apos;!$B$67,D580*(1+C580/12))))</f><v>0</v></c><c r="F580" s="72"><f>IF(OR(A580&gt;&apos;Property Calculator&apos;!$B$70*12,D580&lt;=0),0,D580*C580/12)</f><v>0</v></c><c r="G580" s="72"><f>IF(OR(A580&gt;&apos;Property Calculator&apos;!$B$70*12,D580&lt;=0),0,MAX(0,MIN(D580,E580-F580)))</f><v>0</v></c><c r="H580" s="126"><v>0</v></c><c r="I580" s="72"><f>IF(A580&gt;&apos;Property Calculator&apos;!$B$70*12,0,MAX(0,D580-G580-J580))</f><v>0</v></c><c r="J580" s="72"><f>IF(OR(A580&gt;&apos;Property Calculator&apos;!$B$70*12,D580&lt;=0),0,MIN(H580,MAX(0,D580-G580)))</f><v>0</v></c></row><row r="581" spans="1:10" x14ac:dyDescent="0.25"><c r="A581"><v>578</v></c><c r="B581"><f t="shared" si="9"/>&lt;v&gt;49&lt;/v&gt;&lt;/c&gt;&lt;c r=&quot;C581&quot; s=&quot;37&quot;&gt;&lt;f&gt;IF(A581&gt;&apos;Property Calculator&apos;!$B$70*12,0,IF(AND(&apos;Property Calculator&apos;!$B$72=1,B581&gt;&apos;Property Calculator&apos;!$B$69),&apos;Property Calculator&apos;!$B$73,&apos;Property Calculator&apos;!$B$65))</f><v>0</v></c><c r="D581" s="72"><f>IF(A581&gt;&apos;Property Calculator&apos;!$B$70*12,0,I580)</f><v>0</v></c><c r="E581" s="72"><f>IF(OR(A581&gt;&apos;Property Calculator&apos;!$B$70*12,D581&lt;=0),0,IF(AND(&apos;Property Calculator&apos;!$B$72=1,B581&gt;&apos;Property Calculator&apos;!$B$69),MIN(D581*C581/12+&apos;Property Calculator&apos;!$B$74/12,D581*(1+C581/12)),MIN(&apos;Property Calculator&apos;!$B$67,D581*(1+C581/12))))</f><v>0</v></c><c r="F581" s="72"><f>IF(OR(A581&gt;&apos;Property Calculator&apos;!$B$70*12,D581&lt;=0),0,D581*C581/12)</f><v>0</v></c><c r="G581" s="72"><f>IF(OR(A581&gt;&apos;Property Calculator&apos;!$B$70*12,D581&lt;=0),0,MAX(0,MIN(D581,E581-F581)))</f><v>0</v></c><c r="H581" s="126"><v>0</v></c><c r="I581" s="72"><f>IF(A581&gt;&apos;Property Calculator&apos;!$B$70*12,0,MAX(0,D581-G581-J581))</f><v>0</v></c><c r="J581" s="72"><f>IF(OR(A581&gt;&apos;Property Calculator&apos;!$B$70*12,D581&lt;=0),0,MIN(H581,MAX(0,D581-G581)))</f><v>0</v></c></row><row r="582" spans="1:10" x14ac:dyDescent="0.25"><c r="A582"><v>579</v></c><c r="B582"><f t="shared" si="9"/>&lt;v&gt;49&lt;/v&gt;&lt;/c&gt;&lt;c r=&quot;C582&quot; s=&quot;37&quot;&gt;&lt;f&gt;IF(A582&gt;&apos;Property Calculator&apos;!$B$70*12,0,IF(AND(&apos;Property Calculator&apos;!$B$72=1,B582&gt;&apos;Property Calculator&apos;!$B$69),&apos;Property Calculator&apos;!$B$73,&apos;Property Calculator&apos;!$B$65))</f><v>0</v></c><c r="D582" s="72"><f>IF(A582&gt;&apos;Property Calculator&apos;!$B$70*12,0,I581)</f><v>0</v></c><c r="E582" s="72"><f>IF(OR(A582&gt;&apos;Property Calculator&apos;!$B$70*12,D582&lt;=0),0,IF(AND(&apos;Property Calculator&apos;!$B$72=1,B582&gt;&apos;Property Calculator&apos;!$B$69),MIN(D582*C582/12+&apos;Property Calculator&apos;!$B$74/12,D582*(1+C582/12)),MIN(&apos;Property Calculator&apos;!$B$67,D582*(1+C582/12))))</f><v>0</v></c><c r="F582" s="72"><f>IF(OR(A582&gt;&apos;Property Calculator&apos;!$B$70*12,D582&lt;=0),0,D582*C582/12)</f><v>0</v></c><c r="G582" s="72"><f>IF(OR(A582&gt;&apos;Property Calculator&apos;!$B$70*12,D582&lt;=0),0,MAX(0,MIN(D582,E582-F582)))</f><v>0</v></c><c r="H582" s="126"><v>0</v></c><c r="I582" s="72"><f>IF(A582&gt;&apos;Property Calculator&apos;!$B$70*12,0,MAX(0,D582-G582-J582))</f><v>0</v></c><c r="J582" s="72"><f>IF(OR(A582&gt;&apos;Property Calculator&apos;!$B$70*12,D582&lt;=0),0,MIN(H582,MAX(0,D582-G582)))</f><v>0</v></c></row><row r="583" spans="1:10" x14ac:dyDescent="0.25"><c r="A583"><v>580</v></c><c r="B583"><f t="shared" si="9"/>&lt;v&gt;49&lt;/v&gt;&lt;/c&gt;&lt;c r=&quot;C583&quot; s=&quot;37&quot;&gt;&lt;f&gt;IF(A583&gt;&apos;Property Calculator&apos;!$B$70*12,0,IF(AND(&apos;Property Calculator&apos;!$B$72=1,B583&gt;&apos;Property Calculator&apos;!$B$69),&apos;Property Calculator&apos;!$B$73,&apos;Property Calculator&apos;!$B$65))</f><v>0</v></c><c r="D583" s="72"><f>IF(A583&gt;&apos;Property Calculator&apos;!$B$70*12,0,I582)</f><v>0</v></c><c r="E583" s="72"><f>IF(OR(A583&gt;&apos;Property Calculator&apos;!$B$70*12,D583&lt;=0),0,IF(AND(&apos;Property Calculator&apos;!$B$72=1,B583&gt;&apos;Property Calculator&apos;!$B$69),MIN(D583*C583/12+&apos;Property Calculator&apos;!$B$74/12,D583*(1+C583/12)),MIN(&apos;Property Calculator&apos;!$B$67,D583*(1+C583/12))))</f><v>0</v></c><c r="F583" s="72"><f>IF(OR(A583&gt;&apos;Property Calculator&apos;!$B$70*12,D583&lt;=0),0,D583*C583/12)</f><v>0</v></c><c r="G583" s="72"><f>IF(OR(A583&gt;&apos;Property Calculator&apos;!$B$70*12,D583&lt;=0),0,MAX(0,MIN(D583,E583-F583)))</f><v>0</v></c><c r="H583" s="126"><v>0</v></c><c r="I583" s="72"><f>IF(A583&gt;&apos;Property Calculator&apos;!$B$70*12,0,MAX(0,D583-G583-J583))</f><v>0</v></c><c r="J583" s="72"><f>IF(OR(A583&gt;&apos;Property Calculator&apos;!$B$70*12,D583&lt;=0),0,MIN(H583,MAX(0,D583-G583)))</f><v>0</v></c></row><row r="584" spans="1:10" x14ac:dyDescent="0.25"><c r="A584"><v>581</v></c><c r="B584"><f t="shared" si="9"/>&lt;v&gt;49&lt;/v&gt;&lt;/c&gt;&lt;c r=&quot;C584&quot; s=&quot;37&quot;&gt;&lt;f&gt;IF(A584&gt;&apos;Property Calculator&apos;!$B$70*12,0,IF(AND(&apos;Property Calculator&apos;!$B$72=1,B584&gt;&apos;Property Calculator&apos;!$B$69),&apos;Property Calculator&apos;!$B$73,&apos;Property Calculator&apos;!$B$65))</f><v>0</v></c><c r="D584" s="72"><f>IF(A584&gt;&apos;Property Calculator&apos;!$B$70*12,0,I583)</f><v>0</v></c><c r="E584" s="72"><f>IF(OR(A584&gt;&apos;Property Calculator&apos;!$B$70*12,D584&lt;=0),0,IF(AND(&apos;Property Calculator&apos;!$B$72=1,B584&gt;&apos;Property Calculator&apos;!$B$69),MIN(D584*C584/12+&apos;Property Calculator&apos;!$B$74/12,D584*(1+C584/12)),MIN(&apos;Property Calculator&apos;!$B$67,D584*(1+C584/12))))</f><v>0</v></c><c r="F584" s="72"><f>IF(OR(A584&gt;&apos;Property Calculator&apos;!$B$70*12,D584&lt;=0),0,D584*C584/12)</f><v>0</v></c><c r="G584" s="72"><f>IF(OR(A584&gt;&apos;Property Calculator&apos;!$B$70*12,D584&lt;=0),0,MAX(0,MIN(D584,E584-F584)))</f><v>0</v></c><c r="H584" s="126"><v>0</v></c><c r="I584" s="72"><f>IF(A584&gt;&apos;Property Calculator&apos;!$B$70*12,0,MAX(0,D584-G584-J584))</f><v>0</v></c><c r="J584" s="72"><f>IF(OR(A584&gt;&apos;Property Calculator&apos;!$B$70*12,D584&lt;=0),0,MIN(H584,MAX(0,D584-G584)))</f><v>0</v></c></row><row r="585" spans="1:10" x14ac:dyDescent="0.25"><c r="A585"><v>582</v></c><c r="B585"><f t="shared" si="9"/>&lt;v&gt;49&lt;/v&gt;&lt;/c&gt;&lt;c r=&quot;C585&quot; s=&quot;37&quot;&gt;&lt;f&gt;IF(A585&gt;&apos;Property Calculator&apos;!$B$70*12,0,IF(AND(&apos;Property Calculator&apos;!$B$72=1,B585&gt;&apos;Property Calculator&apos;!$B$69),&apos;Property Calculator&apos;!$B$73,&apos;Property Calculator&apos;!$B$65))</f><v>0</v></c><c r="D585" s="72"><f>IF(A585&gt;&apos;Property Calculator&apos;!$B$70*12,0,I584)</f><v>0</v></c><c r="E585" s="72"><f>IF(OR(A585&gt;&apos;Property Calculator&apos;!$B$70*12,D585&lt;=0),0,IF(AND(&apos;Property Calculator&apos;!$B$72=1,B585&gt;&apos;Property Calculator&apos;!$B$69),MIN(D585*C585/12+&apos;Property Calculator&apos;!$B$74/12,D585*(1+C585/12)),MIN(&apos;Property Calculator&apos;!$B$67,D585*(1+C585/12))))</f><v>0</v></c><c r="F585" s="72"><f>IF(OR(A585&gt;&apos;Property Calculator&apos;!$B$70*12,D585&lt;=0),0,D585*C585/12)</f><v>0</v></c><c r="G585" s="72"><f>IF(OR(A585&gt;&apos;Property Calculator&apos;!$B$70*12,D585&lt;=0),0,MAX(0,MIN(D585,E585-F585)))</f><v>0</v></c><c r="H585" s="126"><v>0</v></c><c r="I585" s="72"><f>IF(A585&gt;&apos;Property Calculator&apos;!$B$70*12,0,MAX(0,D585-G585-J585))</f><v>0</v></c><c r="J585" s="72"><f>IF(OR(A585&gt;&apos;Property Calculator&apos;!$B$70*12,D585&lt;=0),0,MIN(H585,MAX(0,D585-G585)))</f><v>0</v></c></row><row r="586" spans="1:10" x14ac:dyDescent="0.25"><c r="A586"><v>583</v></c><c r="B586"><f t="shared" si="9"/>&lt;v&gt;49&lt;/v&gt;&lt;/c&gt;&lt;c r=&quot;C586&quot; s=&quot;37&quot;&gt;&lt;f&gt;IF(A586&gt;&apos;Property Calculator&apos;!$B$70*12,0,IF(AND(&apos;Property Calculator&apos;!$B$72=1,B586&gt;&apos;Property Calculator&apos;!$B$69),&apos;Property Calculator&apos;!$B$73,&apos;Property Calculator&apos;!$B$65))</f><v>0</v></c><c r="D586" s="72"><f>IF(A586&gt;&apos;Property Calculator&apos;!$B$70*12,0,I585)</f><v>0</v></c><c r="E586" s="72"><f>IF(OR(A586&gt;&apos;Property Calculator&apos;!$B$70*12,D586&lt;=0),0,IF(AND(&apos;Property Calculator&apos;!$B$72=1,B586&gt;&apos;Property Calculator&apos;!$B$69),MIN(D586*C586/12+&apos;Property Calculator&apos;!$B$74/12,D586*(1+C586/12)),MIN(&apos;Property Calculator&apos;!$B$67,D586*(1+C586/12))))</f><v>0</v></c><c r="F586" s="72"><f>IF(OR(A586&gt;&apos;Property Calculator&apos;!$B$70*12,D586&lt;=0),0,D586*C586/12)</f><v>0</v></c><c r="G586" s="72"><f>IF(OR(A586&gt;&apos;Property Calculator&apos;!$B$70*12,D586&lt;=0),0,MAX(0,MIN(D586,E586-F586)))</f><v>0</v></c><c r="H586" s="126"><v>0</v></c><c r="I586" s="72"><f>IF(A586&gt;&apos;Property Calculator&apos;!$B$70*12,0,MAX(0,D586-G586-J586))</f><v>0</v></c><c r="J586" s="72"><f>IF(OR(A586&gt;&apos;Property Calculator&apos;!$B$70*12,D586&lt;=0),0,MIN(H586,MAX(0,D586-G586)))</f><v>0</v></c></row><row r="587" spans="1:10" x14ac:dyDescent="0.25"><c r="A587"><v>584</v></c><c r="B587"><f t="shared" si="9"/>&lt;v&gt;49&lt;/v&gt;&lt;/c&gt;&lt;c r=&quot;C587&quot; s=&quot;37&quot;&gt;&lt;f&gt;IF(A587&gt;&apos;Property Calculator&apos;!$B$70*12,0,IF(AND(&apos;Property Calculator&apos;!$B$72=1,B587&gt;&apos;Property Calculator&apos;!$B$69),&apos;Property Calculator&apos;!$B$73,&apos;Property Calculator&apos;!$B$65))</f><v>0</v></c><c r="D587" s="72"><f>IF(A587&gt;&apos;Property Calculator&apos;!$B$70*12,0,I586)</f><v>0</v></c><c r="E587" s="72"><f>IF(OR(A587&gt;&apos;Property Calculator&apos;!$B$70*12,D587&lt;=0),0,IF(AND(&apos;Property Calculator&apos;!$B$72=1,B587&gt;&apos;Property Calculator&apos;!$B$69),MIN(D587*C587/12+&apos;Property Calculator&apos;!$B$74/12,D587*(1+C587/12)),MIN(&apos;Property Calculator&apos;!$B$67,D587*(1+C587/12))))</f><v>0</v></c><c r="F587" s="72"><f>IF(OR(A587&gt;&apos;Property Calculator&apos;!$B$70*12,D587&lt;=0),0,D587*C587/12)</f><v>0</v></c><c r="G587" s="72"><f>IF(OR(A587&gt;&apos;Property Calculator&apos;!$B$70*12,D587&lt;=0),0,MAX(0,MIN(D587,E587-F587)))</f><v>0</v></c><c r="H587" s="126"><v>0</v></c><c r="I587" s="72"><f>IF(A587&gt;&apos;Property Calculator&apos;!$B$70*12,0,MAX(0,D587-G587-J587))</f><v>0</v></c><c r="J587" s="72"><f>IF(OR(A587&gt;&apos;Property Calculator&apos;!$B$70*12,D587&lt;=0),0,MIN(H587,MAX(0,D587-G587)))</f><v>0</v></c></row><row r="588" spans="1:10" x14ac:dyDescent="0.25"><c r="A588"><v>585</v></c><c r="B588"><f t="shared" si="9"/>&lt;v&gt;49&lt;/v&gt;&lt;/c&gt;&lt;c r=&quot;C588&quot; s=&quot;37&quot;&gt;&lt;f&gt;IF(A588&gt;&apos;Property Calculator&apos;!$B$70*12,0,IF(AND(&apos;Property Calculator&apos;!$B$72=1,B588&gt;&apos;Property Calculator&apos;!$B$69),&apos;Property Calculator&apos;!$B$73,&apos;Property Calculator&apos;!$B$65))</f><v>0</v></c><c r="D588" s="72"><f>IF(A588&gt;&apos;Property Calculator&apos;!$B$70*12,0,I587)</f><v>0</v></c><c r="E588" s="72"><f>IF(OR(A588&gt;&apos;Property Calculator&apos;!$B$70*12,D588&lt;=0),0,IF(AND(&apos;Property Calculator&apos;!$B$72=1,B588&gt;&apos;Property Calculator&apos;!$B$69),MIN(D588*C588/12+&apos;Property Calculator&apos;!$B$74/12,D588*(1+C588/12)),MIN(&apos;Property Calculator&apos;!$B$67,D588*(1+C588/12))))</f><v>0</v></c><c r="F588" s="72"><f>IF(OR(A588&gt;&apos;Property Calculator&apos;!$B$70*12,D588&lt;=0),0,D588*C588/12)</f><v>0</v></c><c r="G588" s="72"><f>IF(OR(A588&gt;&apos;Property Calculator&apos;!$B$70*12,D588&lt;=0),0,MAX(0,MIN(D588,E588-F588)))</f><v>0</v></c><c r="H588" s="126"><v>0</v></c><c r="I588" s="72"><f>IF(A588&gt;&apos;Property Calculator&apos;!$B$70*12,0,MAX(0,D588-G588-J588))</f><v>0</v></c><c r="J588" s="72"><f>IF(OR(A588&gt;&apos;Property Calculator&apos;!$B$70*12,D588&lt;=0),0,MIN(H588,MAX(0,D588-G588)))</f><v>0</v></c></row><row r="589" spans="1:10" x14ac:dyDescent="0.25"><c r="A589"><v>586</v></c><c r="B589"><f t="shared" si="9"/>&lt;v&gt;49&lt;/v&gt;&lt;/c&gt;&lt;c r=&quot;C589&quot; s=&quot;37&quot;&gt;&lt;f&gt;IF(A589&gt;&apos;Property Calculator&apos;!$B$70*12,0,IF(AND(&apos;Property Calculator&apos;!$B$72=1,B589&gt;&apos;Property Calculator&apos;!$B$69),&apos;Property Calculator&apos;!$B$73,&apos;Property Calculator&apos;!$B$65))</f><v>0</v></c><c r="D589" s="72"><f>IF(A589&gt;&apos;Property Calculator&apos;!$B$70*12,0,I588)</f><v>0</v></c><c r="E589" s="72"><f>IF(OR(A589&gt;&apos;Property Calculator&apos;!$B$70*12,D589&lt;=0),0,IF(AND(&apos;Property Calculator&apos;!$B$72=1,B589&gt;&apos;Property Calculator&apos;!$B$69),MIN(D589*C589/12+&apos;Property Calculator&apos;!$B$74/12,D589*(1+C589/12)),MIN(&apos;Property Calculator&apos;!$B$67,D589*(1+C589/12))))</f><v>0</v></c><c r="F589" s="72"><f>IF(OR(A589&gt;&apos;Property Calculator&apos;!$B$70*12,D589&lt;=0),0,D589*C589/12)</f><v>0</v></c><c r="G589" s="72"><f>IF(OR(A589&gt;&apos;Property Calculator&apos;!$B$70*12,D589&lt;=0),0,MAX(0,MIN(D589,E589-F589)))</f><v>0</v></c><c r="H589" s="126"><v>0</v></c><c r="I589" s="72"><f>IF(A589&gt;&apos;Property Calculator&apos;!$B$70*12,0,MAX(0,D589-G589-J589))</f><v>0</v></c><c r="J589" s="72"><f>IF(OR(A589&gt;&apos;Property Calculator&apos;!$B$70*12,D589&lt;=0),0,MIN(H589,MAX(0,D589-G589)))</f><v>0</v></c></row><row r="590" spans="1:10" x14ac:dyDescent="0.25"><c r="A590"><v>587</v></c><c r="B590"><f t="shared" si="9"/>&lt;v&gt;49&lt;/v&gt;&lt;/c&gt;&lt;c r=&quot;C590&quot; s=&quot;37&quot;&gt;&lt;f&gt;IF(A590&gt;&apos;Property Calculator&apos;!$B$70*12,0,IF(AND(&apos;Property Calculator&apos;!$B$72=1,B590&gt;&apos;Property Calculator&apos;!$B$69),&apos;Property Calculator&apos;!$B$73,&apos;Property Calculator&apos;!$B$65))</f><v>0</v></c><c r="D590" s="72"><f>IF(A590&gt;&apos;Property Calculator&apos;!$B$70*12,0,I589)</f><v>0</v></c><c r="E590" s="72"><f>IF(OR(A590&gt;&apos;Property Calculator&apos;!$B$70*12,D590&lt;=0),0,IF(AND(&apos;Property Calculator&apos;!$B$72=1,B590&gt;&apos;Property Calculator&apos;!$B$69),MIN(D590*C590/12+&apos;Property Calculator&apos;!$B$74/12,D590*(1+C590/12)),MIN(&apos;Property Calculator&apos;!$B$67,D590*(1+C590/12))))</f><v>0</v></c><c r="F590" s="72"><f>IF(OR(A590&gt;&apos;Property Calculator&apos;!$B$70*12,D590&lt;=0),0,D590*C590/12)</f><v>0</v></c><c r="G590" s="72"><f>IF(OR(A590&gt;&apos;Property Calculator&apos;!$B$70*12,D590&lt;=0),0,MAX(0,MIN(D590,E590-F590)))</f><v>0</v></c><c r="H590" s="126"><v>0</v></c><c r="I590" s="72"><f>IF(A590&gt;&apos;Property Calculator&apos;!$B$70*12,0,MAX(0,D590-G590-J590))</f><v>0</v></c><c r="J590" s="72"><f>IF(OR(A590&gt;&apos;Property Calculator&apos;!$B$70*12,D590&lt;=0),0,MIN(H590,MAX(0,D590-G590)))</f><v>0</v></c></row><row r="591" spans="1:10" x14ac:dyDescent="0.25"><c r="A591"><v>588</v></c><c r="B591"><f t="shared" si="9"/>&lt;v&gt;49&lt;/v&gt;&lt;/c&gt;&lt;c r=&quot;C591&quot; s=&quot;37&quot;&gt;&lt;f&gt;IF(A591&gt;&apos;Property Calculator&apos;!$B$70*12,0,IF(AND(&apos;Property Calculator&apos;!$B$72=1,B591&gt;&apos;Property Calculator&apos;!$B$69),&apos;Property Calculator&apos;!$B$73,&apos;Property Calculator&apos;!$B$65))</f><v>0</v></c><c r="D591" s="72"><f>IF(A591&gt;&apos;Property Calculator&apos;!$B$70*12,0,I590)</f><v>0</v></c><c r="E591" s="72"><f>IF(OR(A591&gt;&apos;Property Calculator&apos;!$B$70*12,D591&lt;=0),0,IF(AND(&apos;Property Calculator&apos;!$B$72=1,B591&gt;&apos;Property Calculator&apos;!$B$69),MIN(D591*C591/12+&apos;Property Calculator&apos;!$B$74/12,D591*(1+C591/12)),MIN(&apos;Property Calculator&apos;!$B$67,D591*(1+C591/12))))</f><v>0</v></c><c r="F591" s="72"><f>IF(OR(A591&gt;&apos;Property Calculator&apos;!$B$70*12,D591&lt;=0),0,D591*C591/12)</f><v>0</v></c><c r="G591" s="72"><f>IF(OR(A591&gt;&apos;Property Calculator&apos;!$B$70*12,D591&lt;=0),0,MAX(0,MIN(D591,E591-F591)))</f><v>0</v></c><c r="H591" s="126"><v>0</v></c><c r="I591" s="72"><f>IF(A591&gt;&apos;Property Calculator&apos;!$B$70*12,0,MAX(0,D591-G591-J591))</f><v>0</v></c><c r="J591" s="72"><f>IF(OR(A591&gt;&apos;Property Calculator&apos;!$B$70*12,D591&lt;=0),0,MIN(H591,MAX(0,D591-G591)))</f><v>0</v></c></row><row r="592" spans="1:10" x14ac:dyDescent="0.25"><c r="A592"><v>589</v></c><c r="B592"><f t="shared" si="9"/>&lt;v&gt;50&lt;/v&gt;&lt;/c&gt;&lt;c r=&quot;C592&quot; s=&quot;37&quot;&gt;&lt;f&gt;IF(A592&gt;&apos;Property Calculator&apos;!$B$70*12,0,IF(AND(&apos;Property Calculator&apos;!$B$72=1,B592&gt;&apos;Property Calculator&apos;!$B$69),&apos;Property Calculator&apos;!$B$73,&apos;Property Calculator&apos;!$B$65))</f><v>0</v></c><c r="D592" s="72"><f>IF(A592&gt;&apos;Property Calculator&apos;!$B$70*12,0,I591)</f><v>0</v></c><c r="E592" s="72"><f>IF(OR(A592&gt;&apos;Property Calculator&apos;!$B$70*12,D592&lt;=0),0,IF(AND(&apos;Property Calculator&apos;!$B$72=1,B592&gt;&apos;Property Calculator&apos;!$B$69),MIN(D592*C592/12+&apos;Property Calculator&apos;!$B$74/12,D592*(1+C592/12)),MIN(&apos;Property Calculator&apos;!$B$67,D592*(1+C592/12))))</f><v>0</v></c><c r="F592" s="72"><f>IF(OR(A592&gt;&apos;Property Calculator&apos;!$B$70*12,D592&lt;=0),0,D592*C592/12)</f><v>0</v></c><c r="G592" s="72"><f>IF(OR(A592&gt;&apos;Property Calculator&apos;!$B$70*12,D592&lt;=0),0,MAX(0,MIN(D592,E592-F592)))</f><v>0</v></c><c r="H592" s="126"><v>0</v></c><c r="I592" s="72"><f>IF(A592&gt;&apos;Property Calculator&apos;!$B$70*12,0,MAX(0,D592-G592-J592))</f><v>0</v></c><c r="J592" s="72"><f>IF(OR(A592&gt;&apos;Property Calculator&apos;!$B$70*12,D592&lt;=0),0,MIN(H592,MAX(0,D592-G592)))</f><v>0</v></c></row><row r="593" spans="1:10" x14ac:dyDescent="0.25"><c r="A593"><v>590</v></c><c r="B593"><f t="shared" si="9"/>&lt;v&gt;50&lt;/v&gt;&lt;/c&gt;&lt;c r=&quot;C593&quot; s=&quot;37&quot;&gt;&lt;f&gt;IF(A593&gt;&apos;Property Calculator&apos;!$B$70*12,0,IF(AND(&apos;Property Calculator&apos;!$B$72=1,B593&gt;&apos;Property Calculator&apos;!$B$69),&apos;Property Calculator&apos;!$B$73,&apos;Property Calculator&apos;!$B$65))</f><v>0</v></c><c r="D593" s="72"><f>IF(A593&gt;&apos;Property Calculator&apos;!$B$70*12,0,I592)</f><v>0</v></c><c r="E593" s="72"><f>IF(OR(A593&gt;&apos;Property Calculator&apos;!$B$70*12,D593&lt;=0),0,IF(AND(&apos;Property Calculator&apos;!$B$72=1,B593&gt;&apos;Property Calculator&apos;!$B$69),MIN(D593*C593/12+&apos;Property Calculator&apos;!$B$74/12,D593*(1+C593/12)),MIN(&apos;Property Calculator&apos;!$B$67,D593*(1+C593/12))))</f><v>0</v></c><c r="F593" s="72"><f>IF(OR(A593&gt;&apos;Property Calculator&apos;!$B$70*12,D593&lt;=0),0,D593*C593/12)</f><v>0</v></c><c r="G593" s="72"><f>IF(OR(A593&gt;&apos;Property Calculator&apos;!$B$70*12,D593&lt;=0),0,MAX(0,MIN(D593,E593-F593)))</f><v>0</v></c><c r="H593" s="126"><v>0</v></c><c r="I593" s="72"><f>IF(A593&gt;&apos;Property Calculator&apos;!$B$70*12,0,MAX(0,D593-G593-J593))</f><v>0</v></c><c r="J593" s="72"><f>IF(OR(A593&gt;&apos;Property Calculator&apos;!$B$70*12,D593&lt;=0),0,MIN(H593,MAX(0,D593-G593)))</f><v>0</v></c></row><row r="594" spans="1:10" x14ac:dyDescent="0.25"><c r="A594"><v>591</v></c><c r="B594"><f t="shared" si="9"/>&lt;v&gt;50&lt;/v&gt;&lt;/c&gt;&lt;c r=&quot;C594&quot; s=&quot;37&quot;&gt;&lt;f&gt;IF(A594&gt;&apos;Property Calculator&apos;!$B$70*12,0,IF(AND(&apos;Property Calculator&apos;!$B$72=1,B594&gt;&apos;Property Calculator&apos;!$B$69),&apos;Property Calculator&apos;!$B$73,&apos;Property Calculator&apos;!$B$65))</f><v>0</v></c><c r="D594" s="72"><f>IF(A594&gt;&apos;Property Calculator&apos;!$B$70*12,0,I593)</f><v>0</v></c><c r="E594" s="72"><f>IF(OR(A594&gt;&apos;Property Calculator&apos;!$B$70*12,D594&lt;=0),0,IF(AND(&apos;Property Calculator&apos;!$B$72=1,B594&gt;&apos;Property Calculator&apos;!$B$69),MIN(D594*C594/12+&apos;Property Calculator&apos;!$B$74/12,D594*(1+C594/12)),MIN(&apos;Property Calculator&apos;!$B$67,D594*(1+C594/12))))</f><v>0</v></c><c r="F594" s="72"><f>IF(OR(A594&gt;&apos;Property Calculator&apos;!$B$70*12,D594&lt;=0),0,D594*C594/12)</f><v>0</v></c><c r="G594" s="72"><f>IF(OR(A594&gt;&apos;Property Calculator&apos;!$B$70*12,D594&lt;=0),0,MAX(0,MIN(D594,E594-F594)))</f><v>0</v></c><c r="H594" s="126"><v>0</v></c><c r="I594" s="72"><f>IF(A594&gt;&apos;Property Calculator&apos;!$B$70*12,0,MAX(0,D594-G594-J594))</f><v>0</v></c><c r="J594" s="72"><f>IF(OR(A594&gt;&apos;Property Calculator&apos;!$B$70*12,D594&lt;=0),0,MIN(H594,MAX(0,D594-G594)))</f><v>0</v></c></row><row r="595" spans="1:10" x14ac:dyDescent="0.25"><c r="A595"><v>592</v></c><c r="B595"><f t="shared" si="9"/>&lt;v&gt;50&lt;/v&gt;&lt;/c&gt;&lt;c r=&quot;C595&quot; s=&quot;37&quot;&gt;&lt;f&gt;IF(A595&gt;&apos;Property Calculator&apos;!$B$70*12,0,IF(AND(&apos;Property Calculator&apos;!$B$72=1,B595&gt;&apos;Property Calculator&apos;!$B$69),&apos;Property Calculator&apos;!$B$73,&apos;Property Calculator&apos;!$B$65))</f><v>0</v></c><c r="D595" s="72"><f>IF(A595&gt;&apos;Property Calculator&apos;!$B$70*12,0,I594)</f><v>0</v></c><c r="E595" s="72"><f>IF(OR(A595&gt;&apos;Property Calculator&apos;!$B$70*12,D595&lt;=0),0,IF(AND(&apos;Property Calculator&apos;!$B$72=1,B595&gt;&apos;Property Calculator&apos;!$B$69),MIN(D595*C595/12+&apos;Property Calculator&apos;!$B$74/12,D595*(1+C595/12)),MIN(&apos;Property Calculator&apos;!$B$67,D595*(1+C595/12))))</f><v>0</v></c><c r="F595" s="72"><f>IF(OR(A595&gt;&apos;Property Calculator&apos;!$B$70*12,D595&lt;=0),0,D595*C595/12)</f><v>0</v></c><c r="G595" s="72"><f>IF(OR(A595&gt;&apos;Property Calculator&apos;!$B$70*12,D595&lt;=0),0,MAX(0,MIN(D595,E595-F595)))</f><v>0</v></c><c r="H595" s="126"><v>0</v></c><c r="I595" s="72"><f>IF(A595&gt;&apos;Property Calculator&apos;!$B$70*12,0,MAX(0,D595-G595-J595))</f><v>0</v></c><c r="J595" s="72"><f>IF(OR(A595&gt;&apos;Property Calculator&apos;!$B$70*12,D595&lt;=0),0,MIN(H595,MAX(0,D595-G595)))</f><v>0</v></c></row><row r="596" spans="1:10" x14ac:dyDescent="0.25"><c r="A596"><v>593</v></c><c r="B596"><f t="shared" si="9"/>&lt;v&gt;50&lt;/v&gt;&lt;/c&gt;&lt;c r=&quot;C596&quot; s=&quot;37&quot;&gt;&lt;f&gt;IF(A596&gt;&apos;Property Calculator&apos;!$B$70*12,0,IF(AND(&apos;Property Calculator&apos;!$B$72=1,B596&gt;&apos;Property Calculator&apos;!$B$69),&apos;Property Calculator&apos;!$B$73,&apos;Property Calculator&apos;!$B$65))</f><v>0</v></c><c r="D596" s="72"><f>IF(A596&gt;&apos;Property Calculator&apos;!$B$70*12,0,I595)</f><v>0</v></c><c r="E596" s="72"><f>IF(OR(A596&gt;&apos;Property Calculator&apos;!$B$70*12,D596&lt;=0),0,IF(AND(&apos;Property Calculator&apos;!$B$72=1,B596&gt;&apos;Property Calculator&apos;!$B$69),MIN(D596*C596/12+&apos;Property Calculator&apos;!$B$74/12,D596*(1+C596/12)),MIN(&apos;Property Calculator&apos;!$B$67,D596*(1+C596/12))))</f><v>0</v></c><c r="F596" s="72"><f>IF(OR(A596&gt;&apos;Property Calculator&apos;!$B$70*12,D596&lt;=0),0,D596*C596/12)</f><v>0</v></c><c r="G596" s="72"><f>IF(OR(A596&gt;&apos;Property Calculator&apos;!$B$70*12,D596&lt;=0),0,MAX(0,MIN(D596,E596-F596)))</f><v>0</v></c><c r="H596" s="126"><v>0</v></c><c r="I596" s="72"><f>IF(A596&gt;&apos;Property Calculator&apos;!$B$70*12,0,MAX(0,D596-G596-J596))</f><v>0</v></c><c r="J596" s="72"><f>IF(OR(A596&gt;&apos;Property Calculator&apos;!$B$70*12,D596&lt;=0),0,MIN(H596,MAX(0,D596-G596)))</f><v>0</v></c></row><row r="597" spans="1:10" x14ac:dyDescent="0.25"><c r="A597"><v>594</v></c><c r="B597"><f t="shared" si="9"/>&lt;v&gt;50&lt;/v&gt;&lt;/c&gt;&lt;c r=&quot;C597&quot; s=&quot;37&quot;&gt;&lt;f&gt;IF(A597&gt;&apos;Property Calculator&apos;!$B$70*12,0,IF(AND(&apos;Property Calculator&apos;!$B$72=1,B597&gt;&apos;Property Calculator&apos;!$B$69),&apos;Property Calculator&apos;!$B$73,&apos;Property Calculator&apos;!$B$65))</f><v>0</v></c><c r="D597" s="72"><f>IF(A597&gt;&apos;Property Calculator&apos;!$B$70*12,0,I596)</f><v>0</v></c><c r="E597" s="72"><f>IF(OR(A597&gt;&apos;Property Calculator&apos;!$B$70*12,D597&lt;=0),0,IF(AND(&apos;Property Calculator&apos;!$B$72=1,B597&gt;&apos;Property Calculator&apos;!$B$69),MIN(D597*C597/12+&apos;Property Calculator&apos;!$B$74/12,D597*(1+C597/12)),MIN(&apos;Property Calculator&apos;!$B$67,D597*(1+C597/12))))</f><v>0</v></c><c r="F597" s="72"><f>IF(OR(A597&gt;&apos;Property Calculator&apos;!$B$70*12,D597&lt;=0),0,D597*C597/12)</f><v>0</v></c><c r="G597" s="72"><f>IF(OR(A597&gt;&apos;Property Calculator&apos;!$B$70*12,D597&lt;=0),0,MAX(0,MIN(D597,E597-F597)))</f><v>0</v></c><c r="H597" s="126"><v>0</v></c><c r="I597" s="72"><f>IF(A597&gt;&apos;Property Calculator&apos;!$B$70*12,0,MAX(0,D597-G597-J597))</f><v>0</v></c><c r="J597" s="72"><f>IF(OR(A597&gt;&apos;Property Calculator&apos;!$B$70*12,D597&lt;=0),0,MIN(H597,MAX(0,D597-G597)))</f><v>0</v></c></row><row r="598" spans="1:10" x14ac:dyDescent="0.25"><c r="A598"><v>595</v></c><c r="B598"><f t="shared" si="9"/>&lt;v&gt;50&lt;/v&gt;&lt;/c&gt;&lt;c r=&quot;C598&quot; s=&quot;37&quot;&gt;&lt;f&gt;IF(A598&gt;&apos;Property Calculator&apos;!$B$70*12,0,IF(AND(&apos;Property Calculator&apos;!$B$72=1,B598&gt;&apos;Property Calculator&apos;!$B$69),&apos;Property Calculator&apos;!$B$73,&apos;Property Calculator&apos;!$B$65))</f><v>0</v></c><c r="D598" s="72"><f>IF(A598&gt;&apos;Property Calculator&apos;!$B$70*12,0,I597)</f><v>0</v></c><c r="E598" s="72"><f>IF(OR(A598&gt;&apos;Property Calculator&apos;!$B$70*12,D598&lt;=0),0,IF(AND(&apos;Property Calculator&apos;!$B$72=1,B598&gt;&apos;Property Calculator&apos;!$B$69),MIN(D598*C598/12+&apos;Property Calculator&apos;!$B$74/12,D598*(1+C598/12)),MIN(&apos;Property Calculator&apos;!$B$67,D598*(1+C598/12))))</f><v>0</v></c><c r="F598" s="72"><f>IF(OR(A598&gt;&apos;Property Calculator&apos;!$B$70*12,D598&lt;=0),0,D598*C598/12)</f><v>0</v></c><c r="G598" s="72"><f>IF(OR(A598&gt;&apos;Property Calculator&apos;!$B$70*12,D598&lt;=0),0,MAX(0,MIN(D598,E598-F598)))</f><v>0</v></c><c r="H598" s="126"><v>0</v></c><c r="I598" s="72"><f>IF(A598&gt;&apos;Property Calculator&apos;!$B$70*12,0,MAX(0,D598-G598-J598))</f><v>0</v></c><c r="J598" s="72"><f>IF(OR(A598&gt;&apos;Property Calculator&apos;!$B$70*12,D598&lt;=0),0,MIN(H598,MAX(0,D598-G598)))</f><v>0</v></c></row><row r="599" spans="1:10" x14ac:dyDescent="0.25"><c r="A599"><v>596</v></c><c r="B599"><f t="shared" si="9"/>&lt;v&gt;50&lt;/v&gt;&lt;/c&gt;&lt;c r=&quot;C599&quot; s=&quot;37&quot;&gt;&lt;f&gt;IF(A599&gt;&apos;Property Calculator&apos;!$B$70*12,0,IF(AND(&apos;Property Calculator&apos;!$B$72=1,B599&gt;&apos;Property Calculator&apos;!$B$69),&apos;Property Calculator&apos;!$B$73,&apos;Property Calculator&apos;!$B$65))</f><v>0</v></c><c r="D599" s="72"><f>IF(A599&gt;&apos;Property Calculator&apos;!$B$70*12,0,I598)</f><v>0</v></c><c r="E599" s="72"><f>IF(OR(A599&gt;&apos;Property Calculator&apos;!$B$70*12,D599&lt;=0),0,IF(AND(&apos;Property Calculator&apos;!$B$72=1,B599&gt;&apos;Property Calculator&apos;!$B$69),MIN(D599*C599/12+&apos;Property Calculator&apos;!$B$74/12,D599*(1+C599/12)),MIN(&apos;Property Calculator&apos;!$B$67,D599*(1+C599/12))))</f><v>0</v></c><c r="F599" s="72"><f>IF(OR(A599&gt;&apos;Property Calculator&apos;!$B$70*12,D599&lt;=0),0,D599*C599/12)</f><v>0</v></c><c r="G599" s="72"><f>IF(OR(A599&gt;&apos;Property Calculator&apos;!$B$70*12,D599&lt;=0),0,MAX(0,MIN(D599,E599-F599)))</f><v>0</v></c><c r="H599" s="126"><v>0</v></c><c r="I599" s="72"><f>IF(A599&gt;&apos;Property Calculator&apos;!$B$70*12,0,MAX(0,D599-G599-J599))</f><v>0</v></c><c r="J599" s="72"><f>IF(OR(A599&gt;&apos;Property Calculator&apos;!$B$70*12,D599&lt;=0),0,MIN(H599,MAX(0,D599-G599)))</f><v>0</v></c></row><row r="600" spans="1:10" x14ac:dyDescent="0.25"><c r="A600"><v>597</v></c><c r="B600"><f t="shared" si="9"/>&lt;v&gt;50&lt;/v&gt;&lt;/c&gt;&lt;c r=&quot;C600&quot; s=&quot;37&quot;&gt;&lt;f&gt;IF(A600&gt;&apos;Property Calculator&apos;!$B$70*12,0,IF(AND(&apos;Property Calculator&apos;!$B$72=1,B600&gt;&apos;Property Calculator&apos;!$B$69),&apos;Property Calculator&apos;!$B$73,&apos;Property Calculator&apos;!$B$65))</f><v>0</v></c><c r="D600" s="72"><f>IF(A600&gt;&apos;Property Calculator&apos;!$B$70*12,0,I599)</f><v>0</v></c><c r="E600" s="72"><f>IF(OR(A600&gt;&apos;Property Calculator&apos;!$B$70*12,D600&lt;=0),0,IF(AND(&apos;Property Calculator&apos;!$B$72=1,B600&gt;&apos;Property Calculator&apos;!$B$69),MIN(D600*C600/12+&apos;Property Calculator&apos;!$B$74/12,D600*(1+C600/12)),MIN(&apos;Property Calculator&apos;!$B$67,D600*(1+C600/12))))</f><v>0</v></c><c r="F600" s="72"><f>IF(OR(A600&gt;&apos;Property Calculator&apos;!$B$70*12,D600&lt;=0),0,D600*C600/12)</f><v>0</v></c><c r="G600" s="72"><f>IF(OR(A600&gt;&apos;Property Calculator&apos;!$B$70*12,D600&lt;=0),0,MAX(0,MIN(D600,E600-F600)))</f><v>0</v></c><c r="H600" s="126"><v>0</v></c><c r="I600" s="72"><f>IF(A600&gt;&apos;Property Calculator&apos;!$B$70*12,0,MAX(0,D600-G600-J600))</f><v>0</v></c><c r="J600" s="72"><f>IF(OR(A600&gt;&apos;Property Calculator&apos;!$B$70*12,D600&lt;=0),0,MIN(H600,MAX(0,D600-G600)))</f><v>0</v></c></row><row r="601" spans="1:10" x14ac:dyDescent="0.25"><c r="A601"><v>598</v></c><c r="B601"><f t="shared" si="9"/>&lt;v&gt;50&lt;/v&gt;&lt;/c&gt;&lt;c r=&quot;C601&quot; s=&quot;37&quot;&gt;&lt;f&gt;IF(A601&gt;&apos;Property Calculator&apos;!$B$70*12,0,IF(AND(&apos;Property Calculator&apos;!$B$72=1,B601&gt;&apos;Property Calculator&apos;!$B$69),&apos;Property Calculator&apos;!$B$73,&apos;Property Calculator&apos;!$B$65))</f><v>0</v></c><c r="D601" s="72"><f>IF(A601&gt;&apos;Property Calculator&apos;!$B$70*12,0,I600)</f><v>0</v></c><c r="E601" s="72"><f>IF(OR(A601&gt;&apos;Property Calculator&apos;!$B$70*12,D601&lt;=0),0,IF(AND(&apos;Property Calculator&apos;!$B$72=1,B601&gt;&apos;Property Calculator&apos;!$B$69),MIN(D601*C601/12+&apos;Property Calculator&apos;!$B$74/12,D601*(1+C601/12)),MIN(&apos;Property Calculator&apos;!$B$67,D601*(1+C601/12))))</f><v>0</v></c><c r="F601" s="72"><f>IF(OR(A601&gt;&apos;Property Calculator&apos;!$B$70*12,D601&lt;=0),0,D601*C601/12)</f><v>0</v></c><c r="G601" s="72"><f>IF(OR(A601&gt;&apos;Property Calculator&apos;!$B$70*12,D601&lt;=0),0,MAX(0,MIN(D601,E601-F601)))</f><v>0</v></c><c r="H601" s="126"><v>0</v></c><c r="I601" s="72"><f>IF(A601&gt;&apos;Property Calculator&apos;!$B$70*12,0,MAX(0,D601-G601-J601))</f><v>0</v></c><c r="J601" s="72"><f>IF(OR(A601&gt;&apos;Property Calculator&apos;!$B$70*12,D601&lt;=0),0,MIN(H601,MAX(0,D601-G601)))</f><v>0</v></c></row><row r="602" spans="1:10" x14ac:dyDescent="0.25"><c r="A602"><v>599</v></c><c r="B602"><f t="shared" si="9"/>&lt;v&gt;50&lt;/v&gt;&lt;/c&gt;&lt;c r=&quot;C602&quot; s=&quot;37&quot;&gt;&lt;f&gt;IF(A602&gt;&apos;Property Calculator&apos;!$B$70*12,0,IF(AND(&apos;Property Calculator&apos;!$B$72=1,B602&gt;&apos;Property Calculator&apos;!$B$69),&apos;Property Calculator&apos;!$B$73,&apos;Property Calculator&apos;!$B$65))</f><v>0</v></c><c r="D602" s="72"><f>IF(A602&gt;&apos;Property Calculator&apos;!$B$70*12,0,I601)</f><v>0</v></c><c r="E602" s="72"><f>IF(OR(A602&gt;&apos;Property Calculator&apos;!$B$70*12,D602&lt;=0),0,IF(AND(&apos;Property Calculator&apos;!$B$72=1,B602&gt;&apos;Property Calculator&apos;!$B$69),MIN(D602*C602/12+&apos;Property Calculator&apos;!$B$74/12,D602*(1+C602/12)),MIN(&apos;Property Calculator&apos;!$B$67,D602*(1+C602/12))))</f><v>0</v></c><c r="F602" s="72"><f>IF(OR(A602&gt;&apos;Property Calculator&apos;!$B$70*12,D602&lt;=0),0,D602*C602/12)</f><v>0</v></c><c r="G602" s="72"><f>IF(OR(A602&gt;&apos;Property Calculator&apos;!$B$70*12,D602&lt;=0),0,MAX(0,MIN(D602,E602-F602)))</f><v>0</v></c><c r="H602" s="126"><v>0</v></c><c r="I602" s="72"><f>IF(A602&gt;&apos;Property Calculator&apos;!$B$70*12,0,MAX(0,D602-G602-J602))</f><v>0</v></c><c r="J602" s="72"><f>IF(OR(A602&gt;&apos;Property Calculator&apos;!$B$70*12,D602&lt;=0),0,MIN(H602,MAX(0,D602-G602)))</f><v>0</v></c></row><row r="603" spans="1:10" x14ac:dyDescent="0.25"><c r="A603"><v>600</v></c><c r="B603"><f t="shared" si="9"/>&lt;v&gt;50&lt;/v&gt;&lt;/c&gt;&lt;c r=&quot;C603&quot; s=&quot;37&quot;&gt;&lt;f&gt;IF(A603&gt;&apos;Property Calculator&apos;!$B$70*12,0,IF(AND(&apos;Property Calculator&apos;!$B$72=1,B603&gt;&apos;Property Calculator&apos;!$B$69),&apos;Property Calculator&apos;!$B$73,&apos;Property Calculator&apos;!$B$65))</f><v>0</v></c><c r="D603" s="72"><f>IF(A603&gt;&apos;Property Calculator&apos;!$B$70*12,0,I602)</f><v>0</v></c><c r="E603" s="72"><f>IF(OR(A603&gt;&apos;Property Calculator&apos;!$B$70*12,D603&lt;=0),0,IF(AND(&apos;Property Calculator&apos;!$B$72=1,B603&gt;&apos;Property Calculator&apos;!$B$69),MIN(D603*C603/12+&apos;Property Calculator&apos;!$B$74/12,D603*(1+C603/12)),MIN(&apos;Property Calculator&apos;!$B$67,D603*(1+C603/12))))</f><v>0</v></c><c r="F603" s="72"><f>IF(OR(A603&gt;&apos;Property Calculator&apos;!$B$70*12,D603&lt;=0),0,D603*C603/12)</f><v>0</v></c><c r="G603" s="72"><f>IF(OR(A603&gt;&apos;Property Calculator&apos;!$B$70*12,D603&lt;=0),0,MAX(0,MIN(D603,E603-F603)))</f><v>0</v></c><c r="H603" s="126"><v>0</v></c><c r="I603" s="72"><f>IF(A603&gt;&apos;Property Calculator&apos;!$B$70*12,0,MAX(0,D603-G603-J603))</f><v>0</v></c><c r="J603" s="72"><f>IF(OR(A603&gt;&apos;Property Calculator&apos;!$B$70*12,D603&lt;=0),0,MIN(H603,MAX(0,D603-G603)))</f><v>0</v></c></row></sheetData><mergeCells count="2"><mergeCell ref="A1:I1"/><mergeCell ref="A2:I2"/></mergeCells><pageMargins left="0.7" right="0.7" top="0.75" bottom="0.75" header="0.3" footer="0.3"/></worksheet>
</file>

<file path=xl/worksheets/sheet12.xml><?xml version="1.0" encoding="UTF-8" standalone="yes"?>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mc:Ignorable="x14ac xr xr2 xr3" xmlns:x14ac="http://schemas.microsoft.com/office/spreadsheetml/2009/9/ac" xmlns:xr="http://schemas.microsoft.com/office/spreadsheetml/2014/revision" xmlns:xr2="http://schemas.microsoft.com/office/spreadsheetml/2015/revision2" xmlns:xr3="http://schemas.microsoft.com/office/spreadsheetml/2016/revision3" xr:uid="{00000000-0001-0000-0800-000000000000}"><dimension ref="A1:N43"/><sheetViews><sheetView showGridLines="0" topLeftCell="A25" workbookViewId="0"><selection activeCell="C43" sqref="C43"/></sheetView></sheetViews><sheetFormatPr baseColWidth="10" defaultColWidth="9.140625" defaultRowHeight="15" x14ac:dyDescent="0.25"/><cols><col min="1" max="1" width="29" style="70" customWidth="1"/><col min="2" max="4" width="14" style="70" customWidth="1"/><col min="5" max="10" width="16" style="70" customWidth="1"/><col min="11" max="11" width="15" style="70" customWidth="1"/><col min="12" max="12" width="0.42578125" style="70" customWidth="1"/><col min="14" max="14" width="16" style="70" customWidth="1"/></cols><sheetData><row r="1" spans="1:14" ht="27.95" customHeight="1" x14ac:dyDescent="0.25"><c r="A1" s="291" t="s"><v>329</v></c><c r="B1" s="262"/><c r="C1" s="262"/><c r="D1" s="262"/><c r="E1" s="262"/><c r="F1" s="262"/><c r="G1" s="262"/><c r="H1" s="262"/><c r="I1" s="262"/><c r="J1" s="262"/><c r="K1" s="262"/><c r="L1" s="127"/></row><row r="2" spans="1:14" ht="27" customHeight="1" x14ac:dyDescent="0.25"><c r="A2" s="290" t="s"><v>330</v></c><c r="B2" s="262"/><c r="C2" s="262"/><c r="D2" s="262"/><c r="E2" s="262"/><c r="F2" s="262"/><c r="G2" s="262"/><c r="H2" s="262"/><c r="I2" s="262"/><c r="J2" s="262"/><c r="K2" s="262"/><c r="L2" s="127"/></row><row r="3" spans="1:14" ht="30" customHeight="1" x14ac:dyDescent="0.25"><c r="A3" s="27" t="s"><v>197</v></c><c r="B3" s="27" t="s"><v>331</v></c><c r="C3" s="27" t="s"><v>332</v></c><c r="D3" s="27" t="s"><v>333</v></c><c r="E3" s="27" t="s"><v>334</v></c><c r="F3" s="27" t="s"><v>335</v></c><c r="G3" s="27" t="s"><v>336</v></c><c r="H3" s="27" t="s"><v>337</v></c><c r="I3" s="27" t="s"><v>338</v></c><c r="J3" s="27" t="s"><v>339</v></c><c r="K3" s="57" t="s"><v>340</v></c><c r="L3" s="127"/><c r="N3" s="64" t="s"><v>341</v></c></row><row r="4" spans="1:14" x14ac:dyDescent="0.25"><c r="A4" s="28"><v>0</v></c><c r="B4" s="128"><v>0</v></c><c r="C4" s="128"><v>0</v></c><c r="D4" s="128"><f>-&apos;Property Calculator&apos;!$B$63</f><v>-80000</v></c><c r="E4" s="128"><v>0</v></c><c r="F4" s="128"><v>0</v></c><c r="G4" s="128"><f>-&apos;Property Calculator&apos;!$B$63</f><v>-80000</v></c><c r="H4" s="128"><v>0</v></c><c r="I4" s="128"><v>0</v></c><c r="J4" s="128"><f>-&apos;Property Calculator&apos;!$B$63</f><v>-80000</v></c><c r="K4" s="58" t="str"><f>&quot;01.01.&quot;&amp;(&apos;Exit Analysis&apos;!$B$7+A4)</f><v>01.01.2025</v></c><c r="L4" s="127"><f>DATE(&apos;Exit Analysis&apos;!$B$7+A4,1,1)</f><v>45658</v></c><c r="N4" s="128"><f>-&apos;Property Calculator&apos;!$B$50</f><v>-398445</v></c></row><row r="5" spans="1:14" x14ac:dyDescent="0.25"><c r="A5" s="28"><v>1</v></c><c r="B5" s="128"><f>IF($A5&gt;&apos;Property Calculator&apos;!$B$11,0,Scenarios!$B$53)</f><v>-2162.5469611409917</v></c><c r="C5" s="128"><f>IF($A5=&apos;Property Calculator&apos;!$B$11,Scenarios!$B$50,0)</f><v>0</v></c><c r="D5" s="128"><f t="shared" ref="D5:D34" si="0">B5+C5</f><v>-2162.5469611409917</v></c><c r="E5" s="128"><f>IF($A5&gt;&apos;Property Calculator&apos;!$B$11,0,Scenarios!$C$53)</f><v>1140.028111798556</v></c><c r="F5" s="128"><f>IF($A5=&apos;Property Calculator&apos;!$B$11,&apos;Exit Analysis&apos;!$B$18,0)</f><v>0</v></c><c r="G5" s="128"><f t="shared" ref="G5:G34" si="1">E5+F5</f><v>1140.028111798556</v></c><c r="H5" s="128"><f>IF($A5&gt;&apos;Property Calculator&apos;!$B$11,0,Scenarios!$D$53)</f><v>3332.7969343049435</v></c><c r="I5" s="128"><f>IF($A5=&apos;Property Calculator&apos;!$B$11,Scenarios!$D$50,0)</f><v>0</v></c><c r="J5" s="128"><f t="shared" ref="J5:J34" si="2">H5+I5</f><v>3332.7969343049435</v></c><c r="K5" s="58" t="str"><f>&quot;01.01.&quot;&amp;(&apos;Exit Analysis&apos;!$B$7+A5)</f><v>01.01.2026</v></c><c r="L5" s="127"><f>DATE(&apos;Exit Analysis&apos;!$B$7+A5,1,1)</f><v>46023</v></c><c r="N5" s="128"><f>IF($A5&gt;&apos;Property Calculator&apos;!$B$11,0,INDEX(&apos;Property Calculator&apos;!$B$112:$AE$112,1,$A5)+INDEX(&apos;Property Calculator&apos;!$B$111:$AE$111,1,$A5)-INDEX(&apos;Property Calculator&apos;!$B$107:$AE$107,1,$A5)*&apos;Property Calculator&apos;!$B$100+IF($A5=&apos;Property Calculator&apos;!$B$11,&apos;Exit Analysis&apos;!$B$18+INDEX(&apos;Property Calculator&apos;!$B$113:$AE$113,1,$A5),0))</f><v>13659.326399999996</v></c></row><row r="6" spans="1:14" x14ac:dyDescent="0.25"><c r="A6" s="28"><v>2</v></c><c r="B6" s="128"><f>IF($A6&gt;&apos;Property Calculator&apos;!$B$11,0,Scenarios!$B$54)</f><v>-8530.7681677060264</v></c><c r="C6" s="128"><f>IF($A6=&apos;Property Calculator&apos;!$B$11,Scenarios!$B$50,0)</f><v>0</v></c><c r="D6" s="128"><f t="shared" si="0"/>&lt;v&gt;-8530.7681677060264&lt;/v&gt;&lt;/c&gt;&lt;c r=&quot;E6&quot; s=&quot;128&quot;&gt;&lt;f&gt;IF($A6&gt;&apos;Property Calculator&apos;!$B$11,0,Scenarios!$C$54)</f><v>-5167.6182257441687</v></c><c r="F6" s="128"><f>IF($A6=&apos;Property Calculator&apos;!$B$11,&apos;Exit Analysis&apos;!$B$18,0)</f><v>0</v></c><c r="G6" s="128"><f t="shared" si="1"/>&lt;v&gt;-5167.6182257441687&lt;/v&gt;&lt;/c&gt;&lt;c r=&quot;H6&quot; s=&quot;128&quot;&gt;&lt;f&gt;IF($A6&gt;&apos;Property Calculator&apos;!$B$11,0,Scenarios!$D$54)</f><v>-2928.5851509483209</v></c><c r="I6" s="128"><f>IF($A6=&apos;Property Calculator&apos;!$B$11,Scenarios!$D$50,0)</f><v>0</v></c><c r="J6" s="128"><f t="shared" si="2"/>&lt;v&gt;-2928.5851509483209&lt;/v&gt;&lt;/c&gt;&lt;c r=&quot;K6&quot; s=&quot;58&quot; t=&quot;str&quot;&gt;&lt;f&gt;&quot;01.01.&quot;&amp;(&apos;Exit Analysis&apos;!$B$7+A6)</f><v>01.01.2027</v></c><c r="L6" s="127"><f>DATE(&apos;Exit Analysis&apos;!$B$7+A6,1,1)</f><v>46388</v></c><c r="N6" s="128"><f>IF($A6&gt;&apos;Property Calculator&apos;!$B$11,0,INDEX(&apos;Property Calculator&apos;!$B$112:$AE$112,1,$A6)+INDEX(&apos;Property Calculator&apos;!$B$111:$AE$111,1,$A6)-INDEX(&apos;Property Calculator&apos;!$B$107:$AE$107,1,$A6)*&apos;Property Calculator&apos;!$B$100+IF($A6=&apos;Property Calculator&apos;!$B$11,&apos;Exit Analysis&apos;!$B$18+INDEX(&apos;Property Calculator&apos;!$B$113:$AE$113,1,$A6),0))</f><v>7442.9723999999997</v></c></row><row r="7" spans="1:14" x14ac:dyDescent="0.25"><c r="A7" s="28"><v>3</v></c><c r="B7" s="128"><f>IF($A7&gt;&apos;Property Calculator&apos;!$B$11,0,Scenarios!$B$55)</f><v>-8603.1737825256823</v></c><c r="C7" s="128"><f>IF($A7=&apos;Property Calculator&apos;!$B$11,Scenarios!$B$50,0)</f><v>0</v></c><c r="D7" s="128"><f t="shared" si="0"/>&lt;v&gt;-8603.1737825256823&lt;/v&gt;&lt;/c&gt;&lt;c r=&quot;E7&quot; s=&quot;128&quot;&gt;&lt;f&gt;IF($A7&gt;&apos;Property Calculator&apos;!$B$11,0,Scenarios!$C$55)</f><v>-8068.4924835606043</v></c><c r="F7" s="128"><f>IF($A7=&apos;Property Calculator&apos;!$B$11,&apos;Exit Analysis&apos;!$B$18,0)</f><v>0</v></c><c r="G7" s="128"><f t="shared" si="1"/>&lt;v&gt;-8068.4924835606043&lt;/v&gt;&lt;/c&gt;&lt;c r=&quot;H7&quot; s=&quot;128&quot;&gt;&lt;f&gt;IF($A7&gt;&apos;Property Calculator&apos;!$B$11,0,Scenarios!$D$55)</f><v>-2890.0497461964887</v></c><c r="I7" s="128"><f>IF($A7=&apos;Property Calculator&apos;!$B$11,Scenarios!$D$50,0)</f><v>0</v></c><c r="J7" s="128"><f t="shared" si="2"/>&lt;v&gt;-2890.0497461964887&lt;/v&gt;&lt;/c&gt;&lt;c r=&quot;K7&quot; s=&quot;58&quot; t=&quot;str&quot;&gt;&lt;f&gt;&quot;01.01.&quot;&amp;(&apos;Exit Analysis&apos;!$B$7+A7)</f><v>01.01.2028</v></c><c r="L7" s="127"><f>DATE(&apos;Exit Analysis&apos;!$B$7+A7,1,1)</f><v>46753</v></c><c r="N7" s="128"><f>IF($A7&gt;&apos;Property Calculator&apos;!$B$11,0,INDEX(&apos;Property Calculator&apos;!$B$112:$AE$112,1,$A7)+INDEX(&apos;Property Calculator&apos;!$B$111:$AE$111,1,$A7)-INDEX(&apos;Property Calculator&apos;!$B$107:$AE$107,1,$A7)*&apos;Property Calculator&apos;!$B$100+IF($A7=&apos;Property Calculator&apos;!$B$11,&apos;Exit Analysis&apos;!$B$18+INDEX(&apos;Property Calculator&apos;!$B$113:$AE$113,1,$A7),0))</f><v>4636.6374700000015</v></c></row><row r="8" spans="1:14" x14ac:dyDescent="0.25"><c r="A8" s="28"><v>4</v></c><c r="B8" s="128"><f>IF($A8&gt;&apos;Property Calculator&apos;!$B$11,0,Scenarios!$B$56)</f><v>-8679.95118562262</v></c><c r="C8" s="128"><f>IF($A8=&apos;Property Calculator&apos;!$B$11,Scenarios!$B$50,0)</f><v>0</v></c><c r="D8" s="128"><f t="shared" si="0"/>&lt;v&gt;-8679.95118562262&lt;/v&gt;&lt;/c&gt;&lt;c r=&quot;E8&quot; s=&quot;128&quot;&gt;&lt;f&gt;IF($A8&gt;&apos;Property Calculator&apos;!$B$11,0,Scenarios!$C$56)</f><v>-5171.0833120510306</v></c><c r="F8" s="128"><f>IF($A8=&apos;Property Calculator&apos;!$B$11,&apos;Exit Analysis&apos;!$B$18,0)</f><v>0</v></c><c r="G8" s="128"><f t="shared" si="1"/>&lt;v&gt;-5171.0833120510306&lt;/v&gt;&lt;/c&gt;&lt;c r=&quot;H8&quot; s=&quot;128&quot;&gt;&lt;f&gt;IF($A8&gt;&apos;Property Calculator&apos;!$B$11,0,Scenarios!$D$56)</f><v>-2851.6274640931392</v></c><c r="I8" s="128"><f>IF($A8=&apos;Property Calculator&apos;!$B$11,Scenarios!$D$50,0)</f><v>0</v></c><c r="J8" s="128"><f t="shared" si="2"/>&lt;v&gt;-2851.6274640931392&lt;/v&gt;&lt;/c&gt;&lt;c r=&quot;K8&quot; s=&quot;58&quot; t=&quot;str&quot;&gt;&lt;f&gt;&quot;01.01.&quot;&amp;(&apos;Exit Analysis&apos;!$B$7+A8)</f><v>01.01.2029</v></c><c r="L8" s="127"><f>DATE(&apos;Exit Analysis&apos;!$B$7+A8,1,1)</f><v>47119</v></c><c r="N8" s="128"><f>IF($A8&gt;&apos;Property Calculator&apos;!$B$11,0,INDEX(&apos;Property Calculator&apos;!$B$112:$AE$112,1,$A8)+INDEX(&apos;Property Calculator&apos;!$B$111:$AE$111,1,$A8)-INDEX(&apos;Property Calculator&apos;!$B$107:$AE$107,1,$A8)*&apos;Property Calculator&apos;!$B$100+IF($A8=&apos;Property Calculator&apos;!$B$11,&apos;Exit Analysis&apos;!$B$18+INDEX(&apos;Property Calculator&apos;!$B$113:$AE$113,1,$A8),0))</f><v>7631.948445150002</v></c></row><row r="9" spans="1:14" x14ac:dyDescent="0.25"><c r="A9" s="28"><v>5</v></c><c r="B9" s="128"><f>IF($A9&gt;&apos;Property Calculator&apos;!$B$11,0,Scenarios!$B$57)</f><v>-8761.2955144274983</v></c><c r="C9" s="128"><f>IF($A9=&apos;Property Calculator&apos;!$B$11,Scenarios!$B$50,0)</f><v>0</v></c><c r="D9" s="128"><f t="shared" si="0"/>&lt;v&gt;-8761.2955144274983&lt;/v&gt;&lt;/c&gt;&lt;c r=&quot;E9&quot; s=&quot;128&quot;&gt;&lt;f&gt;IF($A9&gt;&apos;Property Calculator&apos;!$B$11,0,Scenarios!$C$57)</f><v>-6425.4830710381102</v></c><c r="F9" s="128"><f>IF($A9=&apos;Property Calculator&apos;!$B$11,&apos;Exit Analysis&apos;!$B$18,0)</f><v>0</v></c><c r="G9" s="128"><f t="shared" si="1"/>&lt;v&gt;-6425.4830710381102&lt;/v&gt;&lt;/c&gt;&lt;c r=&quot;H9&quot; s=&quot;128&quot;&gt;&lt;f&gt;IF($A9&gt;&apos;Property Calculator&apos;!$B$11,0,Scenarios!$D$57)</f><v>-2813.3504863142743</v></c><c r="I9" s="128"><f>IF($A9=&apos;Property Calculator&apos;!$B$11,Scenarios!$D$50,0)</f><v>0</v></c><c r="J9" s="128"><f t="shared" si="2"/>&lt;v&gt;-2813.3504863142743&lt;/v&gt;&lt;/c&gt;&lt;c r=&quot;K9&quot; s=&quot;58&quot; t=&quot;str&quot;&gt;&lt;f&gt;&quot;01.01.&quot;&amp;(&apos;Exit Analysis&apos;!$B$7+A9)</f><v>01.01.2030</v></c><c r="L9" s="127"><f>DATE(&apos;Exit Analysis&apos;!$B$7+A9,1,1)</f><v>47484</v></c><c r="N9" s="128"><f>IF($A9&gt;&apos;Property Calculator&apos;!$B$11,0,INDEX(&apos;Property Calculator&apos;!$B$112:$AE$112,1,$A9)+INDEX(&apos;Property Calculator&apos;!$B$111:$AE$111,1,$A9)-INDEX(&apos;Property Calculator&apos;!$B$107:$AE$107,1,$A9)*&apos;Property Calculator&apos;!$B$100+IF($A9=&apos;Property Calculator&apos;!$B$11,&apos;Exit Analysis&apos;!$B$18+INDEX(&apos;Property Calculator&apos;!$B$113:$AE$113,1,$A9),0))</f><v>6478.932558646753</v></c></row><row r="10" spans="1:14" x14ac:dyDescent="0.25"><c r="A10" s="28"><v>6</v></c><c r="B10" s="128"><f>IF($A10&gt;&apos;Property Calculator&apos;!$B$11,0,Scenarios!$B$58)</f><v>-8847.4099782541452</v></c><c r="C10" s="128"><f>IF($A10=&apos;Property Calculator&apos;!$B$11,Scenarios!$B$50,0)</f><v>0</v></c><c r="D10" s="128"><f t="shared" si="0"/>&lt;v&gt;-8847.4099782541452&lt;/v&gt;&lt;/c&gt;&lt;c r=&quot;E10&quot; s=&quot;128&quot;&gt;&lt;f&gt;IF($A10&gt;&apos;Property Calculator&apos;!$B$11,0,Scenarios!$C$58)</f><v>-5181.787971362528</v></c><c r="F10" s="128"><f>IF($A10=&apos;Property Calculator&apos;!$B$11,&apos;Exit Analysis&apos;!$B$18,0)</f><v>0</v></c><c r="G10" s="128"><f t="shared" si="1"/>&lt;v&gt;-5181.787971362528&lt;/v&gt;&lt;/c&gt;&lt;c r=&quot;H10&quot; s=&quot;128&quot;&gt;&lt;f&gt;IF($A10&gt;&apos;Property Calculator&apos;!$B$11,0,Scenarios!$D$58)</f><v>-2775.2526260775358</v></c><c r="I10" s="128"><f>IF($A10=&apos;Property Calculator&apos;!$B$11,Scenarios!$D$50,0)</f><v>0</v></c><c r="J10" s="128"><f t="shared" si="2"/>&lt;v&gt;-2775.2526260775358&lt;/v&gt;&lt;/c&gt;&lt;c r=&quot;K10&quot; s=&quot;58&quot; t=&quot;str&quot;&gt;&lt;f&gt;&quot;01.01.&quot;&amp;(&apos;Exit Analysis&apos;!$B$7+A10)</f><v>01.01.2031</v></c><c r="L10" s="127"><f>DATE(&apos;Exit Analysis&apos;!$B$7+A10,1,1)</f><v>47849</v></c><c r="N10" s="128"><f>IF($A10&gt;&apos;Property Calculator&apos;!$B$11,0,INDEX(&apos;Property Calculator&apos;!$B$112:$AE$112,1,$A10)+INDEX(&apos;Property Calculator&apos;!$B$111:$AE$111,1,$A10)-INDEX(&apos;Property Calculator&apos;!$B$107:$AE$107,1,$A10)*&apos;Property Calculator&apos;!$B$100+IF($A10=&apos;Property Calculator&apos;!$B$11,&apos;Exit Analysis&apos;!$B$18+INDEX(&apos;Property Calculator&apos;!$B$113:$AE$113,1,$A10),0))</f><v>7827.6174462282797</v></c></row><row r="11" spans="1:14" x14ac:dyDescent="0.25"><c r="A11" s="28"><v>7</v></c><c r="B11" s="128"><f>IF($A11&gt;&apos;Property Calculator&apos;!$B$11,0,Scenarios!$B$59)</f><v>-8938.5061854853484</v></c><c r="C11" s="128"><f>IF($A11=&apos;Property Calculator&apos;!$B$11,Scenarios!$B$50,0)</f><v>0</v></c><c r="D11" s="128"><f t="shared" si="0"/>&lt;v&gt;-8938.5061854853484&lt;/v&gt;&lt;/c&gt;&lt;c r=&quot;E11&quot; s=&quot;128&quot;&gt;&lt;f&gt;IF($A11&gt;&apos;Property Calculator&apos;!$B$11,0,Scenarios!$C$59)</f><v>-5190.0982216713564</v></c><c r="F11" s="128"><f>IF($A11=&apos;Property Calculator&apos;!$B$11,&apos;Exit Analysis&apos;!$B$18,0)</f><v>0</v></c><c r="G11" s="128"><f t="shared" si="1"/>&lt;v&gt;-5190.0982216713564&lt;/v&gt;&lt;/c&gt;&lt;c r=&quot;H11&quot; s=&quot;128&quot;&gt;&lt;f&gt;IF($A11&gt;&apos;Property Calculator&apos;!$B$11,0,Scenarios!$D$59)</f><v>-2737.3693929163828</v></c><c r="I11" s="128"><f>IF($A11=&apos;Property Calculator&apos;!$B$11,Scenarios!$D$50,0)</f><v>0</v></c><c r="J11" s="128"><f t="shared" si="2"/>&lt;v&gt;-2737.3693929163828&lt;/v&gt;&lt;/c&gt;&lt;c r=&quot;K11&quot; s=&quot;58&quot; t=&quot;str&quot;&gt;&lt;f&gt;&quot;01.01.&quot;&amp;(&apos;Exit Analysis&apos;!$B$7+A11)</f><v>01.01.2032</v></c><c r="L11" s="127"><f>DATE(&apos;Exit Analysis&apos;!$B$7+A11,1,1)</f><v>48214</v></c><c r="N11" s="128"><f>IF($A11&gt;&apos;Property Calculator&apos;!$B$11,0,INDEX(&apos;Property Calculator&apos;!$B$112:$AE$112,1,$A11)+INDEX(&apos;Property Calculator&apos;!$B$111:$AE$111,1,$A11)-INDEX(&apos;Property Calculator&apos;!$B$107:$AE$107,1,$A11)*&apos;Property Calculator&apos;!$B$100+IF($A11=&apos;Property Calculator&apos;!$B$11,&apos;Exit Analysis&apos;!$B$18+INDEX(&apos;Property Calculator&apos;!$B$113:$AE$113,1,$A11),0))</f><v>7928.0311506716544</v></c></row><row r="12" spans="1:14" x14ac:dyDescent="0.25"><c r="A12" s="28"><v>8</v></c><c r="B12" s="128"><f>IF($A12&gt;&apos;Property Calculator&apos;!$B$11,0,Scenarios!$B$60)</f><v>-9034.8044839857012</v></c><c r="C12" s="128"><f>IF($A12=&apos;Property Calculator&apos;!$B$11,Scenarios!$B$50,0)</f><v>0</v></c><c r="D12" s="128"><f t="shared" si="0"/>&lt;v&gt;-9034.8044839857012&lt;/v&gt;&lt;/c&gt;&lt;c r=&quot;E12&quot; s=&quot;128&quot;&gt;&lt;f&gt;IF($A12&gt;&apos;Property Calculator&apos;!$B$11,0,Scenarios!$C$60)</f><v>-5200.5181805861175</v></c><c r="F12" s="128"><f>IF($A12=&apos;Property Calculator&apos;!$B$11,&apos;Exit Analysis&apos;!$B$18,0)</f><v>0</v></c><c r="G12" s="128"><f t="shared" si="1"/>&lt;v&gt;-5200.5181805861175&lt;/v&gt;&lt;/c&gt;&lt;c r=&quot;H12&quot; s=&quot;128&quot;&gt;&lt;f&gt;IF($A12&gt;&apos;Property Calculator&apos;!$B$11,0,Scenarios!$D$60)</f><v>-2699.738059786182</v></c><c r="I12" s="128"><f>IF($A12=&apos;Property Calculator&apos;!$B$11,Scenarios!$D$50,0)</f><v>0</v></c><c r="J12" s="128"><f t="shared" si="2"/>&lt;v&gt;-2699.738059786182&lt;/v&gt;&lt;/c&gt;&lt;c r=&quot;K12&quot; s=&quot;58&quot; t=&quot;str&quot;&gt;&lt;f&gt;&quot;01.01.&quot;&amp;(&apos;Exit Analysis&apos;!$B$7+A12)</f><v>01.01.2033</v></c><c r="L12" s="127"><f>DATE(&apos;Exit Analysis&apos;!$B$7+A12,1,1)</f><v>48580</v></c><c r="N12" s="128"><f>IF($A12&gt;&apos;Property Calculator&apos;!$B$11,0,INDEX(&apos;Property Calculator&apos;!$B$112:$AE$112,1,$A12)+INDEX(&apos;Property Calculator&apos;!$B$111:$AE$111,1,$A12)-INDEX(&apos;Property Calculator&apos;!$B$107:$AE$107,1,$A12)*&apos;Property Calculator&apos;!$B$100+IF($A12=&apos;Property Calculator&apos;!$B$11,&apos;Exit Analysis&apos;!$B$18+INDEX(&apos;Property Calculator&apos;!$B$113:$AE$113,1,$A12),0))</f><v>8030.2021262918679</v></c></row><row r="13" spans="1:14" x14ac:dyDescent="0.25"><c r="A13" s="28"><v>9</v></c><c r="B13" s="128"><f>IF($A13&gt;&apos;Property Calculator&apos;!$B$11,0,Scenarios!$B$61)</f><v>-9136.5343152767582</v></c><c r="C13" s="128"><f>IF($A13=&apos;Property Calculator&apos;!$B$11,Scenarios!$B$50,0)</f><v>0</v></c><c r="D13" s="128"><f t="shared" si="0"/>&lt;v&gt;-9136.5343152767582&lt;/v&gt;&lt;/c&gt;&lt;c r=&quot;E13&quot; s=&quot;128&quot;&gt;&lt;f&gt;IF($A13&gt;&apos;Property Calculator&apos;!$B$11,0,Scenarios!$C$61)</f><v>-5213.1565144440528</v></c><c r="F13" s="128"><f>IF($A13=&apos;Property Calculator&apos;!$B$11,&apos;Exit Analysis&apos;!$B$18,0)</f><v>0</v></c><c r="G13" s="128"><f t="shared" si="1"/>&lt;v&gt;-5213.1565144440528&lt;/v&gt;&lt;/c&gt;&lt;c r=&quot;H13&quot; s=&quot;128&quot;&gt;&lt;f&gt;IF($A13&gt;&apos;Property Calculator&apos;!$B$11,0,Scenarios!$D$61)</f><v>-2662.3977325826736</v></c><c r="I13" s="128"><f>IF($A13=&apos;Property Calculator&apos;!$B$11,Scenarios!$D$50,0)</f><v>0</v></c><c r="J13" s="128"><f t="shared" si="2"/>&lt;v&gt;-2662.3977325826736&lt;/v&gt;&lt;/c&gt;&lt;c r=&quot;K13&quot; s=&quot;58&quot; t=&quot;str&quot;&gt;&lt;f&gt;&quot;01.01.&quot;&amp;(&apos;Exit Analysis&apos;!$B$7+A13)</f><v>01.01.2034</v></c><c r="L13" s="127"><f>DATE(&apos;Exit Analysis&apos;!$B$7+A13,1,1)</f><v>48945</v></c><c r="N13" s="128"><f>IF($A13&gt;&apos;Property Calculator&apos;!$B$11,0,INDEX(&apos;Property Calculator&apos;!$B$112:$AE$112,1,$A13)+INDEX(&apos;Property Calculator&apos;!$B$111:$AE$111,1,$A13)-INDEX(&apos;Property Calculator&apos;!$B$107:$AE$107,1,$A13)*&apos;Property Calculator&apos;!$B$100+IF($A13=&apos;Property Calculator&apos;!$B$11,&apos;Exit Analysis&apos;!$B$18+INDEX(&apos;Property Calculator&apos;!$B$113:$AE$113,1,$A13),0))</f><v>8134.1592434396534</v></c></row><row r="14" spans="1:14" x14ac:dyDescent="0.25"><c r="A14" s="28"><v>10</v></c><c r="B14" s="128"><f>IF($A14&gt;&apos;Property Calculator&apos;!$B$11,0,Scenarios!$B$62)</f><v>-9243.934583032009</v></c><c r="C14" s="128"><f>IF($A14=&apos;Property Calculator&apos;!$B$11,Scenarios!$B$50,0)</f><v>170253.61423551716</v></c><c r="D14" s="128"><f t="shared" si="0"/>&lt;v&gt;161009.67965248515&lt;/v&gt;&lt;/c&gt;&lt;c r=&quot;E14&quot; s=&quot;128&quot;&gt;&lt;f&gt;IF($A14&gt;&apos;Property Calculator&apos;!$B$11,0,Scenarios!$C$62)</f><v>-5228.1263608131194</v></c><c r="F14" s="128"><f>IF($A14=&apos;Property Calculator&apos;!$B$11,&apos;Exit Analysis&apos;!$B$18,0)</f><v>179066.09779966265</v></c><c r="G14" s="128"><f t="shared" si="1"/>&lt;v&gt;173837.97143884952&lt;/v&gt;&lt;/c&gt;&lt;c r=&quot;H14&quot; s=&quot;128&quot;&gt;&lt;f&gt;IF($A14&gt;&apos;Property Calculator&apos;!$B$11,0,Scenarios!$D$62)</f><v>-2625.3894221547084</v></c><c r="I14" s="128"><f>IF($A14=&apos;Property Calculator&apos;!$B$11,Scenarios!$D$50,0)</f><v>180573.54337398426</v></c><c r="J14" s="128"><f t="shared" si="2"/>&lt;v&gt;177948.15395182956&lt;/v&gt;&lt;/c&gt;&lt;c r=&quot;K14&quot; s=&quot;58&quot; t=&quot;str&quot;&gt;&lt;f&gt;&quot;01.01.&quot;&amp;(&apos;Exit Analysis&apos;!$B$7+A14)</f><v>01.01.2035</v></c><c r="L14" s="127"><f>DATE(&apos;Exit Analysis&apos;!$B$7+A14,1,1)</f><v>49310</v></c><c r="N14" s="128"><f>IF($A14&gt;&apos;Property Calculator&apos;!$B$11,0,INDEX(&apos;Property Calculator&apos;!$B$112:$AE$112,1,$A14)+INDEX(&apos;Property Calculator&apos;!$B$111:$AE$111,1,$A14)-INDEX(&apos;Property Calculator&apos;!$B$107:$AE$107,1,$A14)*&apos;Property Calculator&apos;!$B$100+IF($A14=&apos;Property Calculator&apos;!$B$11,&apos;Exit Analysis&apos;!$B$18+INDEX(&apos;Property Calculator&apos;!$B$113:$AE$113,1,$A14),0))</f><v>433868.04273828468</v></c></row><row r="15" spans="1:14" x14ac:dyDescent="0.25"><c r="A15" s="28"><v>11</v></c><c r="B15" s="128"><f>IF($A15&gt;&apos;Property Calculator&apos;!$B$11,0,Scenarios!$B$63)</f><v>0</v></c><c r="C15" s="128"><f>IF($A15=&apos;Property Calculator&apos;!$B$11,Scenarios!$B$50,0)</f><v>0</v></c><c r="D15" s="128"><f t="shared" si="0"/>&lt;v&gt;0&lt;/v&gt;&lt;/c&gt;&lt;c r=&quot;E15&quot; s=&quot;128&quot;&gt;&lt;f&gt;IF($A15&gt;&apos;Property Calculator&apos;!$B$11,0,Scenarios!$C$63)</f><v>0</v></c><c r="F15" s="128"><f>IF($A15=&apos;Property Calculator&apos;!$B$11,&apos;Exit Analysis&apos;!$B$18,0)</f><v>0</v></c><c r="G15" s="128"><f t="shared" si="1"/>&lt;v&gt;0&lt;/v&gt;&lt;/c&gt;&lt;c r=&quot;H15&quot; s=&quot;128&quot;&gt;&lt;f&gt;IF($A15&gt;&apos;Property Calculator&apos;!$B$11,0,Scenarios!$D$63)</f><v>0</v></c><c r="I15" s="128"><f>IF($A15=&apos;Property Calculator&apos;!$B$11,Scenarios!$D$50,0)</f><v>0</v></c><c r="J15" s="128"><f t="shared" si="2"/>&lt;v&gt;0&lt;/v&gt;&lt;/c&gt;&lt;c r=&quot;K15&quot; s=&quot;58&quot; t=&quot;str&quot;&gt;&lt;f&gt;&quot;01.01.&quot;&amp;(&apos;Exit Analysis&apos;!$B$7+A15)</f><v>01.01.2036</v></c><c r="L15" s="127"><f>DATE(&apos;Exit Analysis&apos;!$B$7+A15,1,1)</f><v>49675</v></c><c r="N15" s="128"><f>IF($A15&gt;&apos;Property Calculator&apos;!$B$11,0,INDEX(&apos;Property Calculator&apos;!$B$112:$AE$112,1,$A15)+INDEX(&apos;Property Calculator&apos;!$B$111:$AE$111,1,$A15)-INDEX(&apos;Property Calculator&apos;!$B$107:$AE$107,1,$A15)*&apos;Property Calculator&apos;!$B$100+IF($A15=&apos;Property Calculator&apos;!$B$11,&apos;Exit Analysis&apos;!$B$18+INDEX(&apos;Property Calculator&apos;!$B$113:$AE$113,1,$A15),0))</f><v>0</v></c></row><row r="16" spans="1:14" x14ac:dyDescent="0.25"><c r="A16" s="28"><v>12</v></c><c r="B16" s="128"><f>IF($A16&gt;&apos;Property Calculator&apos;!$B$11,0,Scenarios!$B$64)</f><v>0</v></c><c r="C16" s="128"><f>IF($A16=&apos;Property Calculator&apos;!$B$11,Scenarios!$B$50,0)</f><v>0</v></c><c r="D16" s="128"><f t="shared" si="0"/>&lt;v&gt;0&lt;/v&gt;&lt;/c&gt;&lt;c r=&quot;E16&quot; s=&quot;128&quot;&gt;&lt;f&gt;IF($A16&gt;&apos;Property Calculator&apos;!$B$11,0,Scenarios!$C$64)</f><v>0</v></c><c r="F16" s="128"><f>IF($A16=&apos;Property Calculator&apos;!$B$11,&apos;Exit Analysis&apos;!$B$18,0)</f><v>0</v></c><c r="G16" s="128"><f t="shared" si="1"/>&lt;v&gt;0&lt;/v&gt;&lt;/c&gt;&lt;c r=&quot;H16&quot; s=&quot;128&quot;&gt;&lt;f&gt;IF($A16&gt;&apos;Property Calculator&apos;!$B$11,0,Scenarios!$D$64)</f><v>0</v></c><c r="I16" s="128"><f>IF($A16=&apos;Property Calculator&apos;!$B$11,Scenarios!$D$50,0)</f><v>0</v></c><c r="J16" s="128"><f t="shared" si="2"/>&lt;v&gt;0&lt;/v&gt;&lt;/c&gt;&lt;c r=&quot;K16&quot; s=&quot;58&quot; t=&quot;str&quot;&gt;&lt;f&gt;&quot;01.01.&quot;&amp;(&apos;Exit Analysis&apos;!$B$7+A16)</f><v>01.01.2037</v></c><c r="L16" s="127"><f>DATE(&apos;Exit Analysis&apos;!$B$7+A16,1,1)</f><v>50041</v></c><c r="N16" s="128"><f>IF($A16&gt;&apos;Property Calculator&apos;!$B$11,0,INDEX(&apos;Property Calculator&apos;!$B$112:$AE$112,1,$A16)+INDEX(&apos;Property Calculator&apos;!$B$111:$AE$111,1,$A16)-INDEX(&apos;Property Calculator&apos;!$B$107:$AE$107,1,$A16)*&apos;Property Calculator&apos;!$B$100+IF($A16=&apos;Property Calculator&apos;!$B$11,&apos;Exit Analysis&apos;!$B$18+INDEX(&apos;Property Calculator&apos;!$B$113:$AE$113,1,$A16),0))</f><v>0</v></c></row><row r="17" spans="1:14" x14ac:dyDescent="0.25"><c r="A17" s="28"><v>13</v></c><c r="B17" s="128"><f>IF($A17&gt;&apos;Property Calculator&apos;!$B$11,0,Scenarios!$B$65)</f><v>0</v></c><c r="C17" s="128"><f>IF($A17=&apos;Property Calculator&apos;!$B$11,Scenarios!$B$50,0)</f><v>0</v></c><c r="D17" s="128"><f t="shared" si="0"/>&lt;v&gt;0&lt;/v&gt;&lt;/c&gt;&lt;c r=&quot;E17&quot; s=&quot;128&quot;&gt;&lt;f&gt;IF($A17&gt;&apos;Property Calculator&apos;!$B$11,0,Scenarios!$C$65)</f><v>0</v></c><c r="F17" s="128"><f>IF($A17=&apos;Property Calculator&apos;!$B$11,&apos;Exit Analysis&apos;!$B$18,0)</f><v>0</v></c><c r="G17" s="128"><f t="shared" si="1"/>&lt;v&gt;0&lt;/v&gt;&lt;/c&gt;&lt;c r=&quot;H17&quot; s=&quot;128&quot;&gt;&lt;f&gt;IF($A17&gt;&apos;Property Calculator&apos;!$B$11,0,Scenarios!$D$65)</f><v>0</v></c><c r="I17" s="128"><f>IF($A17=&apos;Property Calculator&apos;!$B$11,Scenarios!$D$50,0)</f><v>0</v></c><c r="J17" s="128"><f t="shared" si="2"/>&lt;v&gt;0&lt;/v&gt;&lt;/c&gt;&lt;c r=&quot;K17&quot; s=&quot;58&quot; t=&quot;str&quot;&gt;&lt;f&gt;&quot;01.01.&quot;&amp;(&apos;Exit Analysis&apos;!$B$7+A17)</f><v>01.01.2038</v></c><c r="L17" s="127"><f>DATE(&apos;Exit Analysis&apos;!$B$7+A17,1,1)</f><v>50406</v></c><c r="N17" s="128"><f>IF($A17&gt;&apos;Property Calculator&apos;!$B$11,0,INDEX(&apos;Property Calculator&apos;!$B$112:$AE$112,1,$A17)+INDEX(&apos;Property Calculator&apos;!$B$111:$AE$111,1,$A17)-INDEX(&apos;Property Calculator&apos;!$B$107:$AE$107,1,$A17)*&apos;Property Calculator&apos;!$B$100+IF($A17=&apos;Property Calculator&apos;!$B$11,&apos;Exit Analysis&apos;!$B$18+INDEX(&apos;Property Calculator&apos;!$B$113:$AE$113,1,$A17),0))</f><v>0</v></c></row><row r="18" spans="1:14" x14ac:dyDescent="0.25"><c r="A18" s="28"><v>14</v></c><c r="B18" s="128"><f>IF($A18&gt;&apos;Property Calculator&apos;!$B$11,0,Scenarios!$B$66)</f><v>0</v></c><c r="C18" s="128"><f>IF($A18=&apos;Property Calculator&apos;!$B$11,Scenarios!$B$50,0)</f><v>0</v></c><c r="D18" s="128"><f t="shared" si="0"/>&lt;v&gt;0&lt;/v&gt;&lt;/c&gt;&lt;c r=&quot;E18&quot; s=&quot;128&quot;&gt;&lt;f&gt;IF($A18&gt;&apos;Property Calculator&apos;!$B$11,0,Scenarios!$C$66)</f><v>0</v></c><c r="F18" s="128"><f>IF($A18=&apos;Property Calculator&apos;!$B$11,&apos;Exit Analysis&apos;!$B$18,0)</f><v>0</v></c><c r="G18" s="128"><f t="shared" si="1"/>&lt;v&gt;0&lt;/v&gt;&lt;/c&gt;&lt;c r=&quot;H18&quot; s=&quot;128&quot;&gt;&lt;f&gt;IF($A18&gt;&apos;Property Calculator&apos;!$B$11,0,Scenarios!$D$66)</f><v>0</v></c><c r="I18" s="128"><f>IF($A18=&apos;Property Calculator&apos;!$B$11,Scenarios!$D$50,0)</f><v>0</v></c><c r="J18" s="128"><f t="shared" si="2"/>&lt;v&gt;0&lt;/v&gt;&lt;/c&gt;&lt;c r=&quot;K18&quot; s=&quot;58&quot; t=&quot;str&quot;&gt;&lt;f&gt;&quot;01.01.&quot;&amp;(&apos;Exit Analysis&apos;!$B$7+A18)</f><v>01.01.2039</v></c><c r="L18" s="127"><f>DATE(&apos;Exit Analysis&apos;!$B$7+A18,1,1)</f><v>50771</v></c><c r="N18" s="128"><f>IF($A18&gt;&apos;Property Calculator&apos;!$B$11,0,INDEX(&apos;Property Calculator&apos;!$B$112:$AE$112,1,$A18)+INDEX(&apos;Property Calculator&apos;!$B$111:$AE$111,1,$A18)-INDEX(&apos;Property Calculator&apos;!$B$107:$AE$107,1,$A18)*&apos;Property Calculator&apos;!$B$100+IF($A18=&apos;Property Calculator&apos;!$B$11,&apos;Exit Analysis&apos;!$B$18+INDEX(&apos;Property Calculator&apos;!$B$113:$AE$113,1,$A18),0))</f><v>0</v></c></row><row r="19" spans="1:14" x14ac:dyDescent="0.25"><c r="A19" s="28"><v>15</v></c><c r="B19" s="128"><f>IF($A19&gt;&apos;Property Calculator&apos;!$B$11,0,Scenarios!$B$67)</f><v>0</v></c><c r="C19" s="128"><f>IF($A19=&apos;Property Calculator&apos;!$B$11,Scenarios!$B$50,0)</f><v>0</v></c><c r="D19" s="128"><f t="shared" si="0"/>&lt;v&gt;0&lt;/v&gt;&lt;/c&gt;&lt;c r=&quot;E19&quot; s=&quot;128&quot;&gt;&lt;f&gt;IF($A19&gt;&apos;Property Calculator&apos;!$B$11,0,Scenarios!$C$67)</f><v>0</v></c><c r="F19" s="128"><f>IF($A19=&apos;Property Calculator&apos;!$B$11,&apos;Exit Analysis&apos;!$B$18,0)</f><v>0</v></c><c r="G19" s="128"><f t="shared" si="1"/>&lt;v&gt;0&lt;/v&gt;&lt;/c&gt;&lt;c r=&quot;H19&quot; s=&quot;128&quot;&gt;&lt;f&gt;IF($A19&gt;&apos;Property Calculator&apos;!$B$11,0,Scenarios!$D$67)</f><v>0</v></c><c r="I19" s="128"><f>IF($A19=&apos;Property Calculator&apos;!$B$11,Scenarios!$D$50,0)</f><v>0</v></c><c r="J19" s="128"><f t="shared" si="2"/>&lt;v&gt;0&lt;/v&gt;&lt;/c&gt;&lt;c r=&quot;K19&quot; s=&quot;58&quot; t=&quot;str&quot;&gt;&lt;f&gt;&quot;01.01.&quot;&amp;(&apos;Exit Analysis&apos;!$B$7+A19)</f><v>01.01.2040</v></c><c r="L19" s="127"><f>DATE(&apos;Exit Analysis&apos;!$B$7+A19,1,1)</f><v>51136</v></c><c r="N19" s="128"><f>IF($A19&gt;&apos;Property Calculator&apos;!$B$11,0,INDEX(&apos;Property Calculator&apos;!$B$112:$AE$112,1,$A19)+INDEX(&apos;Property Calculator&apos;!$B$111:$AE$111,1,$A19)-INDEX(&apos;Property Calculator&apos;!$B$107:$AE$107,1,$A19)*&apos;Property Calculator&apos;!$B$100+IF($A19=&apos;Property Calculator&apos;!$B$11,&apos;Exit Analysis&apos;!$B$18+INDEX(&apos;Property Calculator&apos;!$B$113:$AE$113,1,$A19),0))</f><v>0</v></c></row><row r="20" spans="1:14" x14ac:dyDescent="0.25"><c r="A20" s="28"><v>16</v></c><c r="B20" s="128"><f>IF($A20&gt;&apos;Property Calculator&apos;!$B$11,0,Scenarios!$B$68)</f><v>0</v></c><c r="C20" s="128"><f>IF($A20=&apos;Property Calculator&apos;!$B$11,Scenarios!$B$50,0)</f><v>0</v></c><c r="D20" s="128"><f t="shared" si="0"/>&lt;v&gt;0&lt;/v&gt;&lt;/c&gt;&lt;c r=&quot;E20&quot; s=&quot;128&quot;&gt;&lt;f&gt;IF($A20&gt;&apos;Property Calculator&apos;!$B$11,0,Scenarios!$C$68)</f><v>0</v></c><c r="F20" s="128"><f>IF($A20=&apos;Property Calculator&apos;!$B$11,&apos;Exit Analysis&apos;!$B$18,0)</f><v>0</v></c><c r="G20" s="128"><f t="shared" si="1"/>&lt;v&gt;0&lt;/v&gt;&lt;/c&gt;&lt;c r=&quot;H20&quot; s=&quot;128&quot;&gt;&lt;f&gt;IF($A20&gt;&apos;Property Calculator&apos;!$B$11,0,Scenarios!$D$68)</f><v>0</v></c><c r="I20" s="128"><f>IF($A20=&apos;Property Calculator&apos;!$B$11,Scenarios!$D$50,0)</f><v>0</v></c><c r="J20" s="128"><f t="shared" si="2"/>&lt;v&gt;0&lt;/v&gt;&lt;/c&gt;&lt;c r=&quot;K20&quot; s=&quot;58&quot; t=&quot;str&quot;&gt;&lt;f&gt;&quot;01.01.&quot;&amp;(&apos;Exit Analysis&apos;!$B$7+A20)</f><v>01.01.2041</v></c><c r="L20" s="127"><f>DATE(&apos;Exit Analysis&apos;!$B$7+A20,1,1)</f><v>51502</v></c><c r="N20" s="128"><f>IF($A20&gt;&apos;Property Calculator&apos;!$B$11,0,INDEX(&apos;Property Calculator&apos;!$B$112:$AE$112,1,$A20)+INDEX(&apos;Property Calculator&apos;!$B$111:$AE$111,1,$A20)-INDEX(&apos;Property Calculator&apos;!$B$107:$AE$107,1,$A20)*&apos;Property Calculator&apos;!$B$100+IF($A20=&apos;Property Calculator&apos;!$B$11,&apos;Exit Analysis&apos;!$B$18+INDEX(&apos;Property Calculator&apos;!$B$113:$AE$113,1,$A20),0))</f><v>0</v></c></row><row r="21" spans="1:14" x14ac:dyDescent="0.25"><c r="A21" s="28"><v>17</v></c><c r="B21" s="128"><f>IF($A21&gt;&apos;Property Calculator&apos;!$B$11,0,Scenarios!$B$69)</f><v>0</v></c><c r="C21" s="128"><f>IF($A21=&apos;Property Calculator&apos;!$B$11,Scenarios!$B$50,0)</f><v>0</v></c><c r="D21" s="128"><f t="shared" si="0"/>&lt;v&gt;0&lt;/v&gt;&lt;/c&gt;&lt;c r=&quot;E21&quot; s=&quot;128&quot;&gt;&lt;f&gt;IF($A21&gt;&apos;Property Calculator&apos;!$B$11,0,Scenarios!$C$69)</f><v>0</v></c><c r="F21" s="128"><f>IF($A21=&apos;Property Calculator&apos;!$B$11,&apos;Exit Analysis&apos;!$B$18,0)</f><v>0</v></c><c r="G21" s="128"><f t="shared" si="1"/>&lt;v&gt;0&lt;/v&gt;&lt;/c&gt;&lt;c r=&quot;H21&quot; s=&quot;128&quot;&gt;&lt;f&gt;IF($A21&gt;&apos;Property Calculator&apos;!$B$11,0,Scenarios!$D$69)</f><v>0</v></c><c r="I21" s="128"><f>IF($A21=&apos;Property Calculator&apos;!$B$11,Scenarios!$D$50,0)</f><v>0</v></c><c r="J21" s="128"><f t="shared" si="2"/>&lt;v&gt;0&lt;/v&gt;&lt;/c&gt;&lt;c r=&quot;K21&quot; s=&quot;58&quot; t=&quot;str&quot;&gt;&lt;f&gt;&quot;01.01.&quot;&amp;(&apos;Exit Analysis&apos;!$B$7+A21)</f><v>01.01.2042</v></c><c r="L21" s="127"><f>DATE(&apos;Exit Analysis&apos;!$B$7+A21,1,1)</f><v>51867</v></c><c r="N21" s="128"><f>IF($A21&gt;&apos;Property Calculator&apos;!$B$11,0,INDEX(&apos;Property Calculator&apos;!$B$112:$AE$112,1,$A21)+INDEX(&apos;Property Calculator&apos;!$B$111:$AE$111,1,$A21)-INDEX(&apos;Property Calculator&apos;!$B$107:$AE$107,1,$A21)*&apos;Property Calculator&apos;!$B$100+IF($A21=&apos;Property Calculator&apos;!$B$11,&apos;Exit Analysis&apos;!$B$18+INDEX(&apos;Property Calculator&apos;!$B$113:$AE$113,1,$A21),0))</f><v>0</v></c></row><row r="22" spans="1:14" x14ac:dyDescent="0.25"><c r="A22" s="28"><v>18</v></c><c r="B22" s="128"><f>IF($A22&gt;&apos;Property Calculator&apos;!$B$11,0,Scenarios!$B$70)</f><v>0</v></c><c r="C22" s="128"><f>IF($A22=&apos;Property Calculator&apos;!$B$11,Scenarios!$B$50,0)</f><v>0</v></c><c r="D22" s="128"><f t="shared" si="0"/>&lt;v&gt;0&lt;/v&gt;&lt;/c&gt;&lt;c r=&quot;E22&quot; s=&quot;128&quot;&gt;&lt;f&gt;IF($A22&gt;&apos;Property Calculator&apos;!$B$11,0,Scenarios!$C$70)</f><v>0</v></c><c r="F22" s="128"><f>IF($A22=&apos;Property Calculator&apos;!$B$11,&apos;Exit Analysis&apos;!$B$18,0)</f><v>0</v></c><c r="G22" s="128"><f t="shared" si="1"/>&lt;v&gt;0&lt;/v&gt;&lt;/c&gt;&lt;c r=&quot;H22&quot; s=&quot;128&quot;&gt;&lt;f&gt;IF($A22&gt;&apos;Property Calculator&apos;!$B$11,0,Scenarios!$D$70)</f><v>0</v></c><c r="I22" s="128"><f>IF($A22=&apos;Property Calculator&apos;!$B$11,Scenarios!$D$50,0)</f><v>0</v></c><c r="J22" s="128"><f t="shared" si="2"/>&lt;v&gt;0&lt;/v&gt;&lt;/c&gt;&lt;c r=&quot;K22&quot; s=&quot;58&quot; t=&quot;str&quot;&gt;&lt;f&gt;&quot;01.01.&quot;&amp;(&apos;Exit Analysis&apos;!$B$7+A22)</f><v>01.01.2043</v></c><c r="L22" s="127"><f>DATE(&apos;Exit Analysis&apos;!$B$7+A22,1,1)</f><v>52232</v></c><c r="N22" s="128"><f>IF($A22&gt;&apos;Property Calculator&apos;!$B$11,0,INDEX(&apos;Property Calculator&apos;!$B$112:$AE$112,1,$A22)+INDEX(&apos;Property Calculator&apos;!$B$111:$AE$111,1,$A22)-INDEX(&apos;Property Calculator&apos;!$B$107:$AE$107,1,$A22)*&apos;Property Calculator&apos;!$B$100+IF($A22=&apos;Property Calculator&apos;!$B$11,&apos;Exit Analysis&apos;!$B$18+INDEX(&apos;Property Calculator&apos;!$B$113:$AE$113,1,$A22),0))</f><v>0</v></c></row><row r="23" spans="1:14" x14ac:dyDescent="0.25"><c r="A23" s="28"><v>19</v></c><c r="B23" s="128"><f>IF($A23&gt;&apos;Property Calculator&apos;!$B$11,0,Scenarios!$B$71)</f><v>0</v></c><c r="C23" s="128"><f>IF($A23=&apos;Property Calculator&apos;!$B$11,Scenarios!$B$50,0)</f><v>0</v></c><c r="D23" s="128"><f t="shared" si="0"/>&lt;v&gt;0&lt;/v&gt;&lt;/c&gt;&lt;c r=&quot;E23&quot; s=&quot;128&quot;&gt;&lt;f&gt;IF($A23&gt;&apos;Property Calculator&apos;!$B$11,0,Scenarios!$C$71)</f><v>0</v></c><c r="F23" s="128"><f>IF($A23=&apos;Property Calculator&apos;!$B$11,&apos;Exit Analysis&apos;!$B$18,0)</f><v>0</v></c><c r="G23" s="128"><f t="shared" si="1"/>&lt;v&gt;0&lt;/v&gt;&lt;/c&gt;&lt;c r=&quot;H23&quot; s=&quot;128&quot;&gt;&lt;f&gt;IF($A23&gt;&apos;Property Calculator&apos;!$B$11,0,Scenarios!$D$71)</f><v>0</v></c><c r="I23" s="128"><f>IF($A23=&apos;Property Calculator&apos;!$B$11,Scenarios!$D$50,0)</f><v>0</v></c><c r="J23" s="128"><f t="shared" si="2"/>&lt;v&gt;0&lt;/v&gt;&lt;/c&gt;&lt;c r=&quot;K23&quot; s=&quot;58&quot; t=&quot;str&quot;&gt;&lt;f&gt;&quot;01.01.&quot;&amp;(&apos;Exit Analysis&apos;!$B$7+A23)</f><v>01.01.2044</v></c><c r="L23" s="127"><f>DATE(&apos;Exit Analysis&apos;!$B$7+A23,1,1)</f><v>52597</v></c><c r="N23" s="128"><f>IF($A23&gt;&apos;Property Calculator&apos;!$B$11,0,INDEX(&apos;Property Calculator&apos;!$B$112:$AE$112,1,$A23)+INDEX(&apos;Property Calculator&apos;!$B$111:$AE$111,1,$A23)-INDEX(&apos;Property Calculator&apos;!$B$107:$AE$107,1,$A23)*&apos;Property Calculator&apos;!$B$100+IF($A23=&apos;Property Calculator&apos;!$B$11,&apos;Exit Analysis&apos;!$B$18+INDEX(&apos;Property Calculator&apos;!$B$113:$AE$113,1,$A23),0))</f><v>0</v></c></row><row r="24" spans="1:14" x14ac:dyDescent="0.25"><c r="A24" s="28"><v>20</v></c><c r="B24" s="128"><f>IF($A24&gt;&apos;Property Calculator&apos;!$B$11,0,Scenarios!$B$72)</f><v>0</v></c><c r="C24" s="128"><f>IF($A24=&apos;Property Calculator&apos;!$B$11,Scenarios!$B$50,0)</f><v>0</v></c><c r="D24" s="128"><f t="shared" si="0"/>&lt;v&gt;0&lt;/v&gt;&lt;/c&gt;&lt;c r=&quot;E24&quot; s=&quot;128&quot;&gt;&lt;f&gt;IF($A24&gt;&apos;Property Calculator&apos;!$B$11,0,Scenarios!$C$72)</f><v>0</v></c><c r="F24" s="128"><f>IF($A24=&apos;Property Calculator&apos;!$B$11,&apos;Exit Analysis&apos;!$B$18,0)</f><v>0</v></c><c r="G24" s="128"><f t="shared" si="1"/>&lt;v&gt;0&lt;/v&gt;&lt;/c&gt;&lt;c r=&quot;H24&quot; s=&quot;128&quot;&gt;&lt;f&gt;IF($A24&gt;&apos;Property Calculator&apos;!$B$11,0,Scenarios!$D$72)</f><v>0</v></c><c r="I24" s="128"><f>IF($A24=&apos;Property Calculator&apos;!$B$11,Scenarios!$D$50,0)</f><v>0</v></c><c r="J24" s="128"><f t="shared" si="2"/>&lt;v&gt;0&lt;/v&gt;&lt;/c&gt;&lt;c r=&quot;K24&quot; s=&quot;58&quot; t=&quot;str&quot;&gt;&lt;f&gt;&quot;01.01.&quot;&amp;(&apos;Exit Analysis&apos;!$B$7+A24)</f><v>01.01.2045</v></c><c r="L24" s="127"><f>DATE(&apos;Exit Analysis&apos;!$B$7+A24,1,1)</f><v>52963</v></c><c r="N24" s="128"><f>IF($A24&gt;&apos;Property Calculator&apos;!$B$11,0,INDEX(&apos;Property Calculator&apos;!$B$112:$AE$112,1,$A24)+INDEX(&apos;Property Calculator&apos;!$B$111:$AE$111,1,$A24)-INDEX(&apos;Property Calculator&apos;!$B$107:$AE$107,1,$A24)*&apos;Property Calculator&apos;!$B$100+IF($A24=&apos;Property Calculator&apos;!$B$11,&apos;Exit Analysis&apos;!$B$18+INDEX(&apos;Property Calculator&apos;!$B$113:$AE$113,1,$A24),0))</f><v>0</v></c></row><row r="25" spans="1:14" x14ac:dyDescent="0.25"><c r="A25" s="28"><v>21</v></c><c r="B25" s="128"><f>IF($A25&gt;&apos;Property Calculator&apos;!$B$11,0,Scenarios!$B$73)</f><v>0</v></c><c r="C25" s="128"><f>IF($A25=&apos;Property Calculator&apos;!$B$11,Scenarios!$B$50,0)</f><v>0</v></c><c r="D25" s="128"><f t="shared" si="0"/>&lt;v&gt;0&lt;/v&gt;&lt;/c&gt;&lt;c r=&quot;E25&quot; s=&quot;128&quot;&gt;&lt;f&gt;IF($A25&gt;&apos;Property Calculator&apos;!$B$11,0,Scenarios!$C$73)</f><v>0</v></c><c r="F25" s="128"><f>IF($A25=&apos;Property Calculator&apos;!$B$11,&apos;Exit Analysis&apos;!$B$18,0)</f><v>0</v></c><c r="G25" s="128"><f t="shared" si="1"/>&lt;v&gt;0&lt;/v&gt;&lt;/c&gt;&lt;c r=&quot;H25&quot; s=&quot;128&quot;&gt;&lt;f&gt;IF($A25&gt;&apos;Property Calculator&apos;!$B$11,0,Scenarios!$D$73)</f><v>0</v></c><c r="I25" s="128"><f>IF($A25=&apos;Property Calculator&apos;!$B$11,Scenarios!$D$50,0)</f><v>0</v></c><c r="J25" s="128"><f t="shared" si="2"/>&lt;v&gt;0&lt;/v&gt;&lt;/c&gt;&lt;c r=&quot;K25&quot; s=&quot;58&quot; t=&quot;str&quot;&gt;&lt;f&gt;&quot;01.01.&quot;&amp;(&apos;Exit Analysis&apos;!$B$7+A25)</f><v>01.01.2046</v></c><c r="L25" s="127"><f>DATE(&apos;Exit Analysis&apos;!$B$7+A25,1,1)</f><v>53328</v></c><c r="N25" s="128"><f>IF($A25&gt;&apos;Property Calculator&apos;!$B$11,0,INDEX(&apos;Property Calculator&apos;!$B$112:$AE$112,1,$A25)+INDEX(&apos;Property Calculator&apos;!$B$111:$AE$111,1,$A25)-INDEX(&apos;Property Calculator&apos;!$B$107:$AE$107,1,$A25)*&apos;Property Calculator&apos;!$B$100+IF($A25=&apos;Property Calculator&apos;!$B$11,&apos;Exit Analysis&apos;!$B$18+INDEX(&apos;Property Calculator&apos;!$B$113:$AE$113,1,$A25),0))</f><v>0</v></c></row><row r="26" spans="1:14" x14ac:dyDescent="0.25"><c r="A26" s="28"><v>22</v></c><c r="B26" s="128"><f>IF($A26&gt;&apos;Property Calculator&apos;!$B$11,0,Scenarios!$B$74)</f><v>0</v></c><c r="C26" s="128"><f>IF($A26=&apos;Property Calculator&apos;!$B$11,Scenarios!$B$50,0)</f><v>0</v></c><c r="D26" s="128"><f t="shared" si="0"/>&lt;v&gt;0&lt;/v&gt;&lt;/c&gt;&lt;c r=&quot;E26&quot; s=&quot;128&quot;&gt;&lt;f&gt;IF($A26&gt;&apos;Property Calculator&apos;!$B$11,0,Scenarios!$C$74)</f><v>0</v></c><c r="F26" s="128"><f>IF($A26=&apos;Property Calculator&apos;!$B$11,&apos;Exit Analysis&apos;!$B$18,0)</f><v>0</v></c><c r="G26" s="128"><f t="shared" si="1"/>&lt;v&gt;0&lt;/v&gt;&lt;/c&gt;&lt;c r=&quot;H26&quot; s=&quot;128&quot;&gt;&lt;f&gt;IF($A26&gt;&apos;Property Calculator&apos;!$B$11,0,Scenarios!$D$74)</f><v>0</v></c><c r="I26" s="128"><f>IF($A26=&apos;Property Calculator&apos;!$B$11,Scenarios!$D$50,0)</f><v>0</v></c><c r="J26" s="128"><f t="shared" si="2"/>&lt;v&gt;0&lt;/v&gt;&lt;/c&gt;&lt;c r=&quot;K26&quot; s=&quot;58&quot; t=&quot;str&quot;&gt;&lt;f&gt;&quot;01.01.&quot;&amp;(&apos;Exit Analysis&apos;!$B$7+A26)</f><v>01.01.2047</v></c><c r="L26" s="127"><f>DATE(&apos;Exit Analysis&apos;!$B$7+A26,1,1)</f><v>53693</v></c><c r="N26" s="128"><f>IF($A26&gt;&apos;Property Calculator&apos;!$B$11,0,INDEX(&apos;Property Calculator&apos;!$B$112:$AE$112,1,$A26)+INDEX(&apos;Property Calculator&apos;!$B$111:$AE$111,1,$A26)-INDEX(&apos;Property Calculator&apos;!$B$107:$AE$107,1,$A26)*&apos;Property Calculator&apos;!$B$100+IF($A26=&apos;Property Calculator&apos;!$B$11,&apos;Exit Analysis&apos;!$B$18+INDEX(&apos;Property Calculator&apos;!$B$113:$AE$113,1,$A26),0))</f><v>0</v></c></row><row r="27" spans="1:14" x14ac:dyDescent="0.25"><c r="A27" s="28"><v>23</v></c><c r="B27" s="128"><f>IF($A27&gt;&apos;Property Calculator&apos;!$B$11,0,Scenarios!$B$75)</f><v>0</v></c><c r="C27" s="128"><f>IF($A27=&apos;Property Calculator&apos;!$B$11,Scenarios!$B$50,0)</f><v>0</v></c><c r="D27" s="128"><f t="shared" si="0"/>&lt;v&gt;0&lt;/v&gt;&lt;/c&gt;&lt;c r=&quot;E27&quot; s=&quot;128&quot;&gt;&lt;f&gt;IF($A27&gt;&apos;Property Calculator&apos;!$B$11,0,Scenarios!$C$75)</f><v>0</v></c><c r="F27" s="128"><f>IF($A27=&apos;Property Calculator&apos;!$B$11,&apos;Exit Analysis&apos;!$B$18,0)</f><v>0</v></c><c r="G27" s="128"><f t="shared" si="1"/>&lt;v&gt;0&lt;/v&gt;&lt;/c&gt;&lt;c r=&quot;H27&quot; s=&quot;128&quot;&gt;&lt;f&gt;IF($A27&gt;&apos;Property Calculator&apos;!$B$11,0,Scenarios!$D$75)</f><v>0</v></c><c r="I27" s="128"><f>IF($A27=&apos;Property Calculator&apos;!$B$11,Scenarios!$D$50,0)</f><v>0</v></c><c r="J27" s="128"><f t="shared" si="2"/>&lt;v&gt;0&lt;/v&gt;&lt;/c&gt;&lt;c r=&quot;K27&quot; s=&quot;58&quot; t=&quot;str&quot;&gt;&lt;f&gt;&quot;01.01.&quot;&amp;(&apos;Exit Analysis&apos;!$B$7+A27)</f><v>01.01.2048</v></c><c r="L27" s="127"><f>DATE(&apos;Exit Analysis&apos;!$B$7+A27,1,1)</f><v>54058</v></c><c r="N27" s="128"><f>IF($A27&gt;&apos;Property Calculator&apos;!$B$11,0,INDEX(&apos;Property Calculator&apos;!$B$112:$AE$112,1,$A27)+INDEX(&apos;Property Calculator&apos;!$B$111:$AE$111,1,$A27)-INDEX(&apos;Property Calculator&apos;!$B$107:$AE$107,1,$A27)*&apos;Property Calculator&apos;!$B$100+IF($A27=&apos;Property Calculator&apos;!$B$11,&apos;Exit Analysis&apos;!$B$18+INDEX(&apos;Property Calculator&apos;!$B$113:$AE$113,1,$A27),0))</f><v>0</v></c></row><row r="28" spans="1:14" x14ac:dyDescent="0.25"><c r="A28" s="28"><v>24</v></c><c r="B28" s="128"><f>IF($A28&gt;&apos;Property Calculator&apos;!$B$11,0,Scenarios!$B$76)</f><v>0</v></c><c r="C28" s="128"><f>IF($A28=&apos;Property Calculator&apos;!$B$11,Scenarios!$B$50,0)</f><v>0</v></c><c r="D28" s="128"><f t="shared" si="0"/>&lt;v&gt;0&lt;/v&gt;&lt;/c&gt;&lt;c r=&quot;E28&quot; s=&quot;128&quot;&gt;&lt;f&gt;IF($A28&gt;&apos;Property Calculator&apos;!$B$11,0,Scenarios!$C$76)</f><v>0</v></c><c r="F28" s="128"><f>IF($A28=&apos;Property Calculator&apos;!$B$11,&apos;Exit Analysis&apos;!$B$18,0)</f><v>0</v></c><c r="G28" s="128"><f t="shared" si="1"/>&lt;v&gt;0&lt;/v&gt;&lt;/c&gt;&lt;c r=&quot;H28&quot; s=&quot;128&quot;&gt;&lt;f&gt;IF($A28&gt;&apos;Property Calculator&apos;!$B$11,0,Scenarios!$D$76)</f><v>0</v></c><c r="I28" s="128"><f>IF($A28=&apos;Property Calculator&apos;!$B$11,Scenarios!$D$50,0)</f><v>0</v></c><c r="J28" s="128"><f t="shared" si="2"/>&lt;v&gt;0&lt;/v&gt;&lt;/c&gt;&lt;c r=&quot;K28&quot; s=&quot;58&quot; t=&quot;str&quot;&gt;&lt;f&gt;&quot;01.01.&quot;&amp;(&apos;Exit Analysis&apos;!$B$7+A28)</f><v>01.01.2049</v></c><c r="L28" s="127"><f>DATE(&apos;Exit Analysis&apos;!$B$7+A28,1,1)</f><v>54424</v></c><c r="N28" s="128"><f>IF($A28&gt;&apos;Property Calculator&apos;!$B$11,0,INDEX(&apos;Property Calculator&apos;!$B$112:$AE$112,1,$A28)+INDEX(&apos;Property Calculator&apos;!$B$111:$AE$111,1,$A28)-INDEX(&apos;Property Calculator&apos;!$B$107:$AE$107,1,$A28)*&apos;Property Calculator&apos;!$B$100+IF($A28=&apos;Property Calculator&apos;!$B$11,&apos;Exit Analysis&apos;!$B$18+INDEX(&apos;Property Calculator&apos;!$B$113:$AE$113,1,$A28),0))</f><v>0</v></c></row><row r="29" spans="1:14" x14ac:dyDescent="0.25"><c r="A29" s="28"><v>25</v></c><c r="B29" s="128"><f>IF($A29&gt;&apos;Property Calculator&apos;!$B$11,0,Scenarios!$B$77)</f><v>0</v></c><c r="C29" s="128"><f>IF($A29=&apos;Property Calculator&apos;!$B$11,Scenarios!$B$50,0)</f><v>0</v></c><c r="D29" s="128"><f t="shared" si="0"/>&lt;v&gt;0&lt;/v&gt;&lt;/c&gt;&lt;c r=&quot;E29&quot; s=&quot;128&quot;&gt;&lt;f&gt;IF($A29&gt;&apos;Property Calculator&apos;!$B$11,0,Scenarios!$C$77)</f><v>0</v></c><c r="F29" s="128"><f>IF($A29=&apos;Property Calculator&apos;!$B$11,&apos;Exit Analysis&apos;!$B$18,0)</f><v>0</v></c><c r="G29" s="128"><f t="shared" si="1"/>&lt;v&gt;0&lt;/v&gt;&lt;/c&gt;&lt;c r=&quot;H29&quot; s=&quot;128&quot;&gt;&lt;f&gt;IF($A29&gt;&apos;Property Calculator&apos;!$B$11,0,Scenarios!$D$77)</f><v>0</v></c><c r="I29" s="128"><f>IF($A29=&apos;Property Calculator&apos;!$B$11,Scenarios!$D$50,0)</f><v>0</v></c><c r="J29" s="128"><f t="shared" si="2"/>&lt;v&gt;0&lt;/v&gt;&lt;/c&gt;&lt;c r=&quot;K29&quot; s=&quot;58&quot; t=&quot;str&quot;&gt;&lt;f&gt;&quot;01.01.&quot;&amp;(&apos;Exit Analysis&apos;!$B$7+A29)</f><v>01.01.2050</v></c><c r="L29" s="127"><f>DATE(&apos;Exit Analysis&apos;!$B$7+A29,1,1)</f><v>54789</v></c><c r="N29" s="128"><f>IF($A29&gt;&apos;Property Calculator&apos;!$B$11,0,INDEX(&apos;Property Calculator&apos;!$B$112:$AE$112,1,$A29)+INDEX(&apos;Property Calculator&apos;!$B$111:$AE$111,1,$A29)-INDEX(&apos;Property Calculator&apos;!$B$107:$AE$107,1,$A29)*&apos;Property Calculator&apos;!$B$100+IF($A29=&apos;Property Calculator&apos;!$B$11,&apos;Exit Analysis&apos;!$B$18+INDEX(&apos;Property Calculator&apos;!$B$113:$AE$113,1,$A29),0))</f><v>0</v></c></row><row r="30" spans="1:14" x14ac:dyDescent="0.25"><c r="A30" s="28"><v>26</v></c><c r="B30" s="128"><f>IF($A30&gt;&apos;Property Calculator&apos;!$B$11,0,Scenarios!$B$78)</f><v>0</v></c><c r="C30" s="128"><f>IF($A30=&apos;Property Calculator&apos;!$B$11,Scenarios!$B$50,0)</f><v>0</v></c><c r="D30" s="128"><f t="shared" si="0"/>&lt;v&gt;0&lt;/v&gt;&lt;/c&gt;&lt;c r=&quot;E30&quot; s=&quot;128&quot;&gt;&lt;f&gt;IF($A30&gt;&apos;Property Calculator&apos;!$B$11,0,Scenarios!$C$78)</f><v>0</v></c><c r="F30" s="128"><f>IF($A30=&apos;Property Calculator&apos;!$B$11,&apos;Exit Analysis&apos;!$B$18,0)</f><v>0</v></c><c r="G30" s="128"><f t="shared" si="1"/>&lt;v&gt;0&lt;/v&gt;&lt;/c&gt;&lt;c r=&quot;H30&quot; s=&quot;128&quot;&gt;&lt;f&gt;IF($A30&gt;&apos;Property Calculator&apos;!$B$11,0,Scenarios!$D$78)</f><v>0</v></c><c r="I30" s="128"><f>IF($A30=&apos;Property Calculator&apos;!$B$11,Scenarios!$D$50,0)</f><v>0</v></c><c r="J30" s="128"><f t="shared" si="2"/>&lt;v&gt;0&lt;/v&gt;&lt;/c&gt;&lt;c r=&quot;K30&quot; s=&quot;58&quot; t=&quot;str&quot;&gt;&lt;f&gt;&quot;01.01.&quot;&amp;(&apos;Exit Analysis&apos;!$B$7+A30)</f><v>01.01.2051</v></c><c r="L30" s="127"><f>DATE(&apos;Exit Analysis&apos;!$B$7+A30,1,1)</f><v>55154</v></c><c r="N30" s="128"><f>IF($A30&gt;&apos;Property Calculator&apos;!$B$11,0,INDEX(&apos;Property Calculator&apos;!$B$112:$AE$112,1,$A30)+INDEX(&apos;Property Calculator&apos;!$B$111:$AE$111,1,$A30)-INDEX(&apos;Property Calculator&apos;!$B$107:$AE$107,1,$A30)*&apos;Property Calculator&apos;!$B$100+IF($A30=&apos;Property Calculator&apos;!$B$11,&apos;Exit Analysis&apos;!$B$18+INDEX(&apos;Property Calculator&apos;!$B$113:$AE$113,1,$A30),0))</f><v>0</v></c></row><row r="31" spans="1:14" x14ac:dyDescent="0.25"><c r="A31" s="28"><v>27</v></c><c r="B31" s="128"><f>IF($A31&gt;&apos;Property Calculator&apos;!$B$11,0,Scenarios!$B$79)</f><v>0</v></c><c r="C31" s="128"><f>IF($A31=&apos;Property Calculator&apos;!$B$11,Scenarios!$B$50,0)</f><v>0</v></c><c r="D31" s="128"><f t="shared" si="0"/>&lt;v&gt;0&lt;/v&gt;&lt;/c&gt;&lt;c r=&quot;E31&quot; s=&quot;128&quot;&gt;&lt;f&gt;IF($A31&gt;&apos;Property Calculator&apos;!$B$11,0,Scenarios!$C$79)</f><v>0</v></c><c r="F31" s="128"><f>IF($A31=&apos;Property Calculator&apos;!$B$11,&apos;Exit Analysis&apos;!$B$18,0)</f><v>0</v></c><c r="G31" s="128"><f t="shared" si="1"/>&lt;v&gt;0&lt;/v&gt;&lt;/c&gt;&lt;c r=&quot;H31&quot; s=&quot;128&quot;&gt;&lt;f&gt;IF($A31&gt;&apos;Property Calculator&apos;!$B$11,0,Scenarios!$D$79)</f><v>0</v></c><c r="I31" s="128"><f>IF($A31=&apos;Property Calculator&apos;!$B$11,Scenarios!$D$50,0)</f><v>0</v></c><c r="J31" s="128"><f t="shared" si="2"/>&lt;v&gt;0&lt;/v&gt;&lt;/c&gt;&lt;c r=&quot;K31&quot; s=&quot;58&quot; t=&quot;str&quot;&gt;&lt;f&gt;&quot;01.01.&quot;&amp;(&apos;Exit Analysis&apos;!$B$7+A31)</f><v>01.01.2052</v></c><c r="L31" s="127"><f>DATE(&apos;Exit Analysis&apos;!$B$7+A31,1,1)</f><v>55519</v></c><c r="N31" s="128"><f>IF($A31&gt;&apos;Property Calculator&apos;!$B$11,0,INDEX(&apos;Property Calculator&apos;!$B$112:$AE$112,1,$A31)+INDEX(&apos;Property Calculator&apos;!$B$111:$AE$111,1,$A31)-INDEX(&apos;Property Calculator&apos;!$B$107:$AE$107,1,$A31)*&apos;Property Calculator&apos;!$B$100+IF($A31=&apos;Property Calculator&apos;!$B$11,&apos;Exit Analysis&apos;!$B$18+INDEX(&apos;Property Calculator&apos;!$B$113:$AE$113,1,$A31),0))</f><v>0</v></c></row><row r="32" spans="1:14" x14ac:dyDescent="0.25"><c r="A32" s="28"><v>28</v></c><c r="B32" s="128"><f>IF($A32&gt;&apos;Property Calculator&apos;!$B$11,0,Scenarios!$B$80)</f><v>0</v></c><c r="C32" s="128"><f>IF($A32=&apos;Property Calculator&apos;!$B$11,Scenarios!$B$50,0)</f><v>0</v></c><c r="D32" s="128"><f t="shared" si="0"/>&lt;v&gt;0&lt;/v&gt;&lt;/c&gt;&lt;c r=&quot;E32&quot; s=&quot;128&quot;&gt;&lt;f&gt;IF($A32&gt;&apos;Property Calculator&apos;!$B$11,0,Scenarios!$C$80)</f><v>0</v></c><c r="F32" s="128"><f>IF($A32=&apos;Property Calculator&apos;!$B$11,&apos;Exit Analysis&apos;!$B$18,0)</f><v>0</v></c><c r="G32" s="128"><f t="shared" si="1"/>&lt;v&gt;0&lt;/v&gt;&lt;/c&gt;&lt;c r=&quot;H32&quot; s=&quot;128&quot;&gt;&lt;f&gt;IF($A32&gt;&apos;Property Calculator&apos;!$B$11,0,Scenarios!$D$80)</f><v>0</v></c><c r="I32" s="128"><f>IF($A32=&apos;Property Calculator&apos;!$B$11,Scenarios!$D$50,0)</f><v>0</v></c><c r="J32" s="128"><f t="shared" si="2"/>&lt;v&gt;0&lt;/v&gt;&lt;/c&gt;&lt;c r=&quot;K32&quot; s=&quot;58&quot; t=&quot;str&quot;&gt;&lt;f&gt;&quot;01.01.&quot;&amp;(&apos;Exit Analysis&apos;!$B$7+A32)</f><v>01.01.2053</v></c><c r="L32" s="127"><f>DATE(&apos;Exit Analysis&apos;!$B$7+A32,1,1)</f><v>55885</v></c><c r="N32" s="128"><f>IF($A32&gt;&apos;Property Calculator&apos;!$B$11,0,INDEX(&apos;Property Calculator&apos;!$B$112:$AE$112,1,$A32)+INDEX(&apos;Property Calculator&apos;!$B$111:$AE$111,1,$A32)-INDEX(&apos;Property Calculator&apos;!$B$107:$AE$107,1,$A32)*&apos;Property Calculator&apos;!$B$100+IF($A32=&apos;Property Calculator&apos;!$B$11,&apos;Exit Analysis&apos;!$B$18+INDEX(&apos;Property Calculator&apos;!$B$113:$AE$113,1,$A32),0))</f><v>0</v></c></row><row r="33" spans="1:14" x14ac:dyDescent="0.25"><c r="A33" s="28"><v>29</v></c><c r="B33" s="128"><f>IF($A33&gt;&apos;Property Calculator&apos;!$B$11,0,Scenarios!$B$81)</f><v>0</v></c><c r="C33" s="128"><f>IF($A33=&apos;Property Calculator&apos;!$B$11,Scenarios!$B$50,0)</f><v>0</v></c><c r="D33" s="128"><f t="shared" si="0"/>&lt;v&gt;0&lt;/v&gt;&lt;/c&gt;&lt;c r=&quot;E33&quot; s=&quot;128&quot;&gt;&lt;f&gt;IF($A33&gt;&apos;Property Calculator&apos;!$B$11,0,Scenarios!$C$81)</f><v>0</v></c><c r="F33" s="128"><f>IF($A33=&apos;Property Calculator&apos;!$B$11,&apos;Exit Analysis&apos;!$B$18,0)</f><v>0</v></c><c r="G33" s="128"><f t="shared" si="1"/>&lt;v&gt;0&lt;/v&gt;&lt;/c&gt;&lt;c r=&quot;H33&quot; s=&quot;128&quot;&gt;&lt;f&gt;IF($A33&gt;&apos;Property Calculator&apos;!$B$11,0,Scenarios!$D$81)</f><v>0</v></c><c r="I33" s="128"><f>IF($A33=&apos;Property Calculator&apos;!$B$11,Scenarios!$D$50,0)</f><v>0</v></c><c r="J33" s="128"><f t="shared" si="2"/>&lt;v&gt;0&lt;/v&gt;&lt;/c&gt;&lt;c r=&quot;K33&quot; s=&quot;58&quot; t=&quot;str&quot;&gt;&lt;f&gt;&quot;01.01.&quot;&amp;(&apos;Exit Analysis&apos;!$B$7+A33)</f><v>01.01.2054</v></c><c r="L33" s="127"><f>DATE(&apos;Exit Analysis&apos;!$B$7+A33,1,1)</f><v>56250</v></c><c r="N33" s="128"><f>IF($A33&gt;&apos;Property Calculator&apos;!$B$11,0,INDEX(&apos;Property Calculator&apos;!$B$112:$AE$112,1,$A33)+INDEX(&apos;Property Calculator&apos;!$B$111:$AE$111,1,$A33)-INDEX(&apos;Property Calculator&apos;!$B$107:$AE$107,1,$A33)*&apos;Property Calculator&apos;!$B$100+IF($A33=&apos;Property Calculator&apos;!$B$11,&apos;Exit Analysis&apos;!$B$18+INDEX(&apos;Property Calculator&apos;!$B$113:$AE$113,1,$A33),0))</f><v>0</v></c></row><row r="34" spans="1:14" x14ac:dyDescent="0.25"><c r="A34" s="28"><v>30</v></c><c r="B34" s="128"><f>IF($A34&gt;&apos;Property Calculator&apos;!$B$11,0,Scenarios!$B$82)</f><v>0</v></c><c r="C34" s="128"><f>IF($A34=&apos;Property Calculator&apos;!$B$11,Scenarios!$B$50,0)</f><v>0</v></c><c r="D34" s="128"><f t="shared" si="0"/>&lt;v&gt;0&lt;/v&gt;&lt;/c&gt;&lt;c r=&quot;E34&quot; s=&quot;128&quot;&gt;&lt;f&gt;IF($A34&gt;&apos;Property Calculator&apos;!$B$11,0,Scenarios!$C$82)</f><v>0</v></c><c r="F34" s="128"><f>IF($A34=&apos;Property Calculator&apos;!$B$11,&apos;Exit Analysis&apos;!$B$18,0)</f><v>0</v></c><c r="G34" s="128"><f t="shared" si="1"/>&lt;v&gt;0&lt;/v&gt;&lt;/c&gt;&lt;c r=&quot;H34&quot; s=&quot;128&quot;&gt;&lt;f&gt;IF($A34&gt;&apos;Property Calculator&apos;!$B$11,0,Scenarios!$D$82)</f><v>0</v></c><c r="I34" s="128"><f>IF($A34=&apos;Property Calculator&apos;!$B$11,Scenarios!$D$50,0)</f><v>0</v></c><c r="J34" s="128"><f t="shared" si="2"/>&lt;v&gt;0&lt;/v&gt;&lt;/c&gt;&lt;c r=&quot;K34&quot; s=&quot;58&quot; t=&quot;str&quot;&gt;&lt;f&gt;&quot;01.01.&quot;&amp;(&apos;Exit Analysis&apos;!$B$7+A34)</f><v>01.01.2055</v></c><c r="L34" s="127"><f>DATE(&apos;Exit Analysis&apos;!$B$7+A34,1,1)</f><v>56615</v></c><c r="N34" s="128"><f>IF($A34&gt;&apos;Property Calculator&apos;!$B$11,0,INDEX(&apos;Property Calculator&apos;!$B$112:$AE$112,1,$A34)+INDEX(&apos;Property Calculator&apos;!$B$111:$AE$111,1,$A34)-INDEX(&apos;Property Calculator&apos;!$B$107:$AE$107,1,$A34)*&apos;Property Calculator&apos;!$B$100+IF($A34=&apos;Property Calculator&apos;!$B$11,&apos;Exit Analysis&apos;!$B$18+INDEX(&apos;Property Calculator&apos;!$B$113:$AE$113,1,$A34),0))</f><v>0</v></c></row><row r="35" spans="1:14" x14ac:dyDescent="0.25"><c r="L35" s="127"/></row><row r="36" spans="1:14" ht="23.1" customHeight="1" x14ac:dyDescent="0.25"><c r="A36" s="292" t="s"><v>342</v></c><c r="B36" s="293"/><c r="C36" s="293"/><c r="D36" s="273"/><c r="F36" s="272" t="s"><v>343</v></c><c r="G36" s="293"/><c r="H36" s="293"/><c r="I36" s="293"/><c r="J36" s="293"/><c r="K36" s="273"/><c r="L36" s="127"/></row><row r="37" spans="1:14" ht="21.95" customHeight="1" x14ac:dyDescent="0.25"><c r="A37" s="57" t="s"><v>25</v></c><c r="B37" s="57" t="s"><v>169</v></c><c r="C37" s="57" t="s"><v>170</v></c><c r="D37" s="57" t="s"><v>171</v></c><c r="F37" s="289" t="s"><v>344</v></c><c r="G37" s="294"/><c r="H37" s="294"/><c r="I37" s="294"/><c r="J37" s="294"/><c r="K37" s="295"/><c r="L37" s="127"/></row><row r="38" spans="1:14" ht="21.95" customHeight="1" x14ac:dyDescent="0.25"><c r="A38" s="60" t="s"><v>345</v></c><c r="B38" s="129"><f>IFERROR(IRR($D$4:$D$34),&quot;—&quot;)</f><v>7.1357524063426769E-3</v></c><c r="C38" s="129"><f>IFERROR(IRR($G$4:$G$34),&quot;—&quot;)</f><v>4.1470337377611965E-2</v></c><c r="D38" s="129"><f>IFERROR(IRR($J$4:$J$34),&quot;—&quot;)</f><v>6.7328474893714407E-2</v></c><c r="F38" s="296"/><c r="G38" s="297"/><c r="H38" s="297"/><c r="I38" s="297"/><c r="J38" s="297"/><c r="K38" s="282"/><c r="L38" s="127"/></row><row r="39" spans="1:14" ht="21.95" customHeight="1" x14ac:dyDescent="0.25"><c r="A39" s="60" t="s"><v>346</v></c><c r="B39" s="129"><f>IFERROR(XIRR($D$4:$D$34,$L$4:$L$34),&quot;—&quot;)</f><v>7.1317046880722051E-3</v></c><c r="C39" s="129"><f>IFERROR(XIRR($G$4:$G$34,$L$4:$L$34),&quot;—&quot;)</f><v>4.1446533799171459E-2</v></c><c r="D39" s="129"><f>IFERROR(XIRR($J$4:$J$34,$L$4:$L$34),&quot;—&quot;)</f><v>6.7290046811103801E-2</v></c><c r="F39" s="289" t="s"><v>347</v></c><c r="G39" s="294"/><c r="H39" s="294"/><c r="I39" s="294"/><c r="J39" s="294"/><c r="K39" s="295"/><c r="L39" s="127"/></row><row r="40" spans="1:14" ht="21.95" customHeight="1" x14ac:dyDescent="0.25"><c r="A40" s="60" t="s"><v>18</v></c><c r="B40" s="130"><f>IFERROR(SUMIF($D$4:$D$34,&quot;&gt;0&quot;,$D$4:$D$34)/ABS(SUMIF($D$4:$D$34,&quot;&lt;0&quot;,$D$4:$D$34)),&quot;—&quot;)</f><v>1.0544529263650451</v></c><c r="C40" s="130"><f>IFERROR(SUMIF($G$4:$G$34,&quot;&gt;0&quot;,$G$4:$G$34)/ABS(SUMIF($G$4:$G$34,&quot;&lt;0&quot;,$G$4:$G$34)),&quot;—&quot;)</f><v>1.3929346754399534</v></c><c r="D40" s="130"><f>IFERROR(SUMIF($J$4:$J$34,&quot;&gt;0&quot;,$J$4:$J$34)/ABS(SUMIF($J$4:$J$34,&quot;&lt;0&quot;,$J$4:$J$34)),&quot;—&quot;)</f><v>1.771041779183945</v></c><c r="F40" s="296"/><c r="G40" s="297"/><c r="H40" s="297"/><c r="I40" s="297"/><c r="J40" s="297"/><c r="K40" s="282"/><c r="L40" s="127"/></row><row r="41" spans="1:14" ht="24" customHeight="1" x14ac:dyDescent="0.25"><c r="A41" s="60" t="s"><v>348</v></c><c r="B41" s="131"><f>SUM($D$4:$D$34)</f><v>8314.6890780603862</v></c><c r="C41" s="131"><f>SUM($G$4:$G$34)</f><v>49359.761570190094</v></c><c r="D41" s="131"><f>SUM($J$4:$J$34)</f><v>78922.580227219529</v></c><c r="F41" s="289" t="s"><v>349</v></c><c r="G41" s="285"/><c r="H41" s="285"/><c r="I41" s="285"/><c r="J41" s="285"/><c r="K41" s="286"/><c r="L41" s="127"/></row><row r="42" spans="1:14" x14ac:dyDescent="0.25"><c r="A42" s="60" t="s"><v>8</v></c><c r="C42" s="129"><f>IFERROR(XIRR($N$4:$N$34,$L$4:$L$34),&quot;—&quot;)</f><v>2.6209601759910588E-2</v></c></row><row r="43" spans="1:14" ht="24" customHeight="1" x14ac:dyDescent="0.25"><c r="A43" s="60" t="s"><v>350</v></c><c r="B43" s="69"><v>7.0000000000000007E-2</v></c><c r="C43" s="132"><f ca="1">IFERROR($G$4+NPV($B$43,OFFSET($G$5,0,0,&apos;Property Calculator&apos;!$B$11,1)),&quot;—&quot;)</f><v>-22737.647052044304</v></c></row></sheetData><mergeCells count="7"><mergeCell ref="F41:K41"/><mergeCell ref="A2:K2"/><mergeCell ref="A1:K1"/><mergeCell ref="A36:D36"/><mergeCell ref="F39:K40"/><mergeCell ref="F37:K38"/><mergeCell ref="F36:K36"/></mergeCells><conditionalFormatting sqref="B38:D39"><cfRule type="cellIs" dxfId="8" priority="1" operator="lessThan"><formula>0</formula></cfRule><cfRule type="cellIs" dxfId="7" priority="2" operator="between"><formula>0</formula><formula>0.059999</formula></cfRule><cfRule type="cellIs" dxfId="6" priority="3" operator="greaterThanOrEqual"><formula>0.06</formula></cfRule></conditionalFormatting><conditionalFormatting sqref="B40:D40"><cfRule type="cellIs" dxfId="5" priority="4" operator="lessThan"><formula>1</formula></cfRule><cfRule type="cellIs" dxfId="4" priority="5" operator="between"><formula>1</formula><formula>1.499999</formula></cfRule><cfRule type="cellIs" dxfId="3" priority="6" operator="greaterThanOrEqual"><formula>1.5</formula></cfRule></conditionalFormatting><conditionalFormatting sqref="B41:D41"><cfRule type="cellIs" dxfId="2" priority="7" operator="lessThan"><formula>0</formula></cfRule><cfRule type="cellIs" dxfId="1" priority="8" operator="between"><formula>0</formula><formula>0</formula></cfRule><cfRule type="cellIs" dxfId="0" priority="9" operator="greaterThan"><formula>0</formula></cfRule></conditionalFormatting><pageMargins left="0.7" right="0.7" top="0.75" bottom="0.75" header="0.3" footer="0.3"/><legacyDrawing r:id="rId1"/></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7"/>
  <sheetViews>
    <sheetView showGridLines="0" workbookViewId="0">
      <selection sqref="A1:C1"/>
    </sheetView>
  </sheetViews>
  <sheetFormatPr baseColWidth="10" defaultColWidth="9.140625" defaultRowHeight="15" x14ac:dyDescent="0.25"/>
  <cols>
    <col min="1" max="1" width="24" style="70" customWidth="1"/>
    <col min="2" max="2" width="52" style="70" customWidth="1"/>
    <col min="3" max="3" width="42" style="70" customWidth="1"/>
  </cols>
  <sheetData>
    <row r="1" spans="1:3" ht="27.95" customHeight="1" x14ac:dyDescent="0.25">
      <c r="A1" s="298" t="s">
        <v>351</v>
      </c>
      <c r="B1" s="262"/>
      <c r="C1" s="262"/>
    </row>
    <row r="2" spans="1:3" x14ac:dyDescent="0.25">
      <c r="A2" s="300" t="s">
        <v>352</v>
      </c>
      <c r="B2" s="285"/>
      <c r="C2" s="285"/>
    </row>
    <row r="4" spans="1:3" x14ac:dyDescent="0.25">
      <c r="A4" s="27" t="s">
        <v>353</v>
      </c>
      <c r="B4" s="27" t="s">
        <v>354</v>
      </c>
      <c r="C4" s="27" t="s">
        <v>355</v>
      </c>
    </row>
    <row r="5" spans="1:3" ht="51.95" customHeight="1" x14ac:dyDescent="0.25">
      <c r="A5" s="29" t="s">
        <v>356</v>
      </c>
      <c r="B5" s="30" t="s">
        <v>357</v>
      </c>
      <c r="C5" s="30" t="s">
        <v>358</v>
      </c>
    </row>
    <row r="6" spans="1:3" ht="39.950000000000003" customHeight="1" x14ac:dyDescent="0.25">
      <c r="A6" s="31" t="s">
        <v>359</v>
      </c>
      <c r="B6" s="32" t="s">
        <v>360</v>
      </c>
      <c r="C6" s="32" t="s">
        <v>361</v>
      </c>
    </row>
    <row r="7" spans="1:3" ht="39.950000000000003" customHeight="1" x14ac:dyDescent="0.25">
      <c r="A7" s="31" t="s">
        <v>362</v>
      </c>
      <c r="B7" s="32" t="s">
        <v>363</v>
      </c>
      <c r="C7" s="32" t="s">
        <v>364</v>
      </c>
    </row>
    <row r="8" spans="1:3" ht="39.950000000000003" customHeight="1" x14ac:dyDescent="0.25">
      <c r="A8" s="31" t="s">
        <v>365</v>
      </c>
      <c r="B8" s="32" t="s">
        <v>366</v>
      </c>
      <c r="C8" s="32" t="s">
        <v>367</v>
      </c>
    </row>
    <row r="9" spans="1:3" ht="39.950000000000003" customHeight="1" x14ac:dyDescent="0.25">
      <c r="A9" s="31" t="s">
        <v>368</v>
      </c>
      <c r="B9" s="32" t="s">
        <v>369</v>
      </c>
      <c r="C9" s="32" t="s">
        <v>370</v>
      </c>
    </row>
    <row r="10" spans="1:3" ht="48" customHeight="1" x14ac:dyDescent="0.25">
      <c r="A10" s="31" t="s">
        <v>371</v>
      </c>
      <c r="B10" s="32" t="s">
        <v>372</v>
      </c>
      <c r="C10" s="32" t="s">
        <v>373</v>
      </c>
    </row>
    <row r="11" spans="1:3" ht="39.950000000000003" customHeight="1" x14ac:dyDescent="0.25">
      <c r="A11" s="33" t="s">
        <v>374</v>
      </c>
      <c r="B11" s="34" t="s">
        <v>375</v>
      </c>
      <c r="C11" s="34" t="s">
        <v>376</v>
      </c>
    </row>
    <row r="12" spans="1:3" x14ac:dyDescent="0.25">
      <c r="A12" s="62"/>
      <c r="B12" s="62"/>
      <c r="C12" s="62"/>
    </row>
    <row r="13" spans="1:3" x14ac:dyDescent="0.25">
      <c r="A13" s="27" t="s">
        <v>377</v>
      </c>
      <c r="B13" s="27" t="s">
        <v>378</v>
      </c>
      <c r="C13" s="27" t="s">
        <v>379</v>
      </c>
    </row>
    <row r="14" spans="1:3" ht="39.950000000000003" customHeight="1" x14ac:dyDescent="0.25">
      <c r="A14" s="29" t="s">
        <v>380</v>
      </c>
      <c r="B14" s="30" t="s">
        <v>381</v>
      </c>
      <c r="C14" s="30" t="s">
        <v>382</v>
      </c>
    </row>
    <row r="15" spans="1:3" ht="39.950000000000003" customHeight="1" x14ac:dyDescent="0.25">
      <c r="A15" s="31" t="s">
        <v>383</v>
      </c>
      <c r="B15" s="32" t="s">
        <v>384</v>
      </c>
      <c r="C15" s="32" t="s">
        <v>385</v>
      </c>
    </row>
    <row r="16" spans="1:3" ht="39.950000000000003" customHeight="1" x14ac:dyDescent="0.25">
      <c r="A16" s="31" t="s">
        <v>386</v>
      </c>
      <c r="B16" s="32" t="s">
        <v>387</v>
      </c>
      <c r="C16" s="32" t="s">
        <v>388</v>
      </c>
    </row>
    <row r="17" spans="1:3" ht="39.950000000000003" customHeight="1" x14ac:dyDescent="0.25">
      <c r="A17" s="31" t="s">
        <v>389</v>
      </c>
      <c r="B17" s="32" t="s">
        <v>390</v>
      </c>
      <c r="C17" s="32" t="s">
        <v>391</v>
      </c>
    </row>
    <row r="18" spans="1:3" ht="39.950000000000003" customHeight="1" x14ac:dyDescent="0.25">
      <c r="A18" s="31" t="s">
        <v>392</v>
      </c>
      <c r="B18" s="32" t="s">
        <v>393</v>
      </c>
      <c r="C18" s="32" t="s">
        <v>394</v>
      </c>
    </row>
    <row r="19" spans="1:3" ht="39.950000000000003" customHeight="1" x14ac:dyDescent="0.25">
      <c r="A19" s="33" t="s">
        <v>395</v>
      </c>
      <c r="B19" s="34" t="s">
        <v>396</v>
      </c>
      <c r="C19" s="34" t="s">
        <v>397</v>
      </c>
    </row>
    <row r="21" spans="1:3" ht="15" customHeight="1" x14ac:dyDescent="0.25">
      <c r="A21" s="299" t="s">
        <v>398</v>
      </c>
      <c r="B21" s="262"/>
      <c r="C21" s="262"/>
    </row>
    <row r="22" spans="1:3" ht="15" customHeight="1" x14ac:dyDescent="0.25">
      <c r="A22" s="138" t="s">
        <v>399</v>
      </c>
      <c r="B22" s="139">
        <v>1200</v>
      </c>
    </row>
    <row r="23" spans="1:3" ht="15" customHeight="1" x14ac:dyDescent="0.25">
      <c r="A23" s="138" t="s">
        <v>400</v>
      </c>
      <c r="B23" s="139">
        <v>0</v>
      </c>
    </row>
    <row r="24" spans="1:3" ht="15" customHeight="1" x14ac:dyDescent="0.25">
      <c r="A24" s="138" t="s">
        <v>401</v>
      </c>
      <c r="B24" s="140">
        <v>1.25</v>
      </c>
    </row>
    <row r="25" spans="1:3" ht="15" customHeight="1" x14ac:dyDescent="0.25">
      <c r="A25" s="138" t="s">
        <v>402</v>
      </c>
      <c r="B25" s="140">
        <v>1</v>
      </c>
    </row>
    <row r="26" spans="1:3" ht="15" customHeight="1" x14ac:dyDescent="0.25">
      <c r="A26" s="138" t="s">
        <v>403</v>
      </c>
      <c r="B26" s="141">
        <v>0.06</v>
      </c>
    </row>
    <row r="27" spans="1:3" ht="15" customHeight="1" x14ac:dyDescent="0.25">
      <c r="A27" s="138" t="s">
        <v>404</v>
      </c>
      <c r="B27" s="141">
        <v>0</v>
      </c>
    </row>
  </sheetData>
  <mergeCells count="3">
    <mergeCell ref="A1:C1"/>
    <mergeCell ref="A21:C2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Dashboard</vt:lpstr>
      <vt:lpstr>Immobilien-Kalkulation</vt:lpstr>
      <vt:lpstr>WEG</vt:lpstr>
      <vt:lpstr>CapEx</vt:lpstr>
      <vt:lpstr>Sensitivität</vt:lpstr>
      <vt:lpstr>Szenarien</vt:lpstr>
      <vt:lpstr>Zinstest</vt:lpstr>
      <vt:lpstr>Exit-Analyse</vt:lpstr>
      <vt:lpstr>EK-Optimierung</vt:lpstr>
      <vt:lpstr>Realwert-Analyse</vt:lpstr>
      <vt:lpstr>Tilgungsplan</vt:lpstr>
      <vt:lpstr>Rendite-Details</vt:lpstr>
      <vt:lpstr>Modellhinweise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 Stark</cp:lastModifiedBy>
  <dcterms:created xsi:type="dcterms:W3CDTF">2026-08-26T06:10:19Z</dcterms:created>
  <dcterms:modified xsi:type="dcterms:W3CDTF">2026-08-28T12:54:43Z</dcterms:modified>
</cp:coreProperties>
</file>